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-105" yWindow="-105" windowWidth="20640" windowHeight="11760" tabRatio="945"/>
  </bookViews>
  <sheets>
    <sheet name="!!! ФІНАНСОВИЙ ПЛАН 2023 !!!" sheetId="8" r:id="rId1"/>
    <sheet name="Деталізація" sheetId="23" r:id="rId2"/>
    <sheet name="Доходи" sheetId="4" r:id="rId3"/>
    <sheet name="Видатки" sheetId="17" r:id="rId4"/>
    <sheet name="ОЗ-ІНМА" sheetId="39" r:id="rId5"/>
    <sheet name="2210" sheetId="37" r:id="rId6"/>
    <sheet name="2220" sheetId="36" r:id="rId7"/>
    <sheet name="2230" sheetId="35" r:id="rId8"/>
    <sheet name="2240" sheetId="38" r:id="rId9"/>
    <sheet name="Зведена Д-В" sheetId="10" r:id="rId10"/>
    <sheet name="ФОП" sheetId="20" r:id="rId11"/>
    <sheet name="тарифікація" sheetId="21" r:id="rId12"/>
    <sheet name="штат-розп" sheetId="29" r:id="rId13"/>
    <sheet name="ЗВ штат-розп" sheetId="30" r:id="rId14"/>
    <sheet name="НЧ - СД" sheetId="27" r:id="rId15"/>
    <sheet name="Енергоносії" sheetId="24" r:id="rId16"/>
    <sheet name="Електроенергія" sheetId="33" r:id="rId17"/>
    <sheet name="Інші енергоносії" sheetId="32" r:id="rId18"/>
    <sheet name="тріска паливна" sheetId="34" r:id="rId19"/>
    <sheet name="Програма МБ 2023 рік" sheetId="26" r:id="rId20"/>
    <sheet name="0" sheetId="13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123Graph_XGRAPH3" localSheetId="3" hidden="1">[1]GDP!#REF!</definedName>
    <definedName name="__123Graph_XGRAPH3" localSheetId="16" hidden="1">[1]GDP!#REF!</definedName>
    <definedName name="__123Graph_XGRAPH3" localSheetId="17" hidden="1">[1]GDP!#REF!</definedName>
    <definedName name="__123Graph_XGRAPH3" hidden="1">[1]GDP!#REF!</definedName>
    <definedName name="_xlnm._FilterDatabase" localSheetId="20" hidden="1">'0'!$B$7:$E$7</definedName>
    <definedName name="_xlnm._FilterDatabase" localSheetId="11" hidden="1">тарифікація!$C$8:$X$455</definedName>
    <definedName name="_xlnm._FilterDatabase" localSheetId="12" hidden="1">'штат-розп'!$H$19:$Y$213</definedName>
    <definedName name="ad">'[2]МТР Газ України'!$B$1</definedName>
    <definedName name="as">'[3]МТР Газ України'!$B$1</definedName>
    <definedName name="asdf">[4]Inform!$E$6</definedName>
    <definedName name="asdfg">[4]Inform!$F$2</definedName>
    <definedName name="BuiltIn_Print_Area___1___1" localSheetId="3">#REF!</definedName>
    <definedName name="BuiltIn_Print_Area___1___1" localSheetId="16">#REF!</definedName>
    <definedName name="BuiltIn_Print_Area___1___1" localSheetId="17">#REF!</definedName>
    <definedName name="BuiltIn_Print_Area___1___1">#REF!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st_Category_National_ID" localSheetId="3">#REF!</definedName>
    <definedName name="Cost_Category_National_ID" localSheetId="16">#REF!</definedName>
    <definedName name="Cost_Category_National_ID" localSheetId="17">#REF!</definedName>
    <definedName name="Cost_Category_National_ID">#REF!</definedName>
    <definedName name="CREXPORT" localSheetId="16">#REF!</definedName>
    <definedName name="CREXPORT" localSheetId="13">#REF!</definedName>
    <definedName name="CREXPORT" localSheetId="17">#REF!</definedName>
    <definedName name="CREXPORT">#REF!</definedName>
    <definedName name="Cе511" localSheetId="3">#REF!</definedName>
    <definedName name="Cе511" localSheetId="16">#REF!</definedName>
    <definedName name="Cе511" localSheetId="17">#REF!</definedName>
    <definedName name="Cе511">#REF!</definedName>
    <definedName name="d">'[8]МТР Газ України'!$B$4</definedName>
    <definedName name="dCPIb" localSheetId="3">[9]попер_роз!#REF!</definedName>
    <definedName name="dCPIb" localSheetId="16">[9]попер_роз!#REF!</definedName>
    <definedName name="dCPIb" localSheetId="17">[9]попер_роз!#REF!</definedName>
    <definedName name="dCPIb">[9]попер_роз!#REF!</definedName>
    <definedName name="Detail" localSheetId="16">#REF!</definedName>
    <definedName name="Detail" localSheetId="13">#REF!</definedName>
    <definedName name="Detail" localSheetId="17">#REF!</definedName>
    <definedName name="Detail">#REF!</definedName>
    <definedName name="dPPIb" localSheetId="3">[9]попер_роз!#REF!</definedName>
    <definedName name="dPPIb" localSheetId="16">[9]попер_роз!#REF!</definedName>
    <definedName name="dPPIb" localSheetId="17">[9]попер_роз!#REF!</definedName>
    <definedName name="dPPIb">[9]попер_роз!#REF!</definedName>
    <definedName name="ds" localSheetId="3">'[10]7  Інші витрати'!#REF!</definedName>
    <definedName name="ds" localSheetId="16">'[10]7  Інші витрати'!#REF!</definedName>
    <definedName name="ds" localSheetId="17">'[10]7  Інші витрати'!#REF!</definedName>
    <definedName name="ds">'[10]7  Інші витрати'!#REF!</definedName>
    <definedName name="Fact_Type_ID" localSheetId="3">#REF!</definedName>
    <definedName name="Fact_Type_ID" localSheetId="16">#REF!</definedName>
    <definedName name="Fact_Type_ID" localSheetId="17">#REF!</definedName>
    <definedName name="Fact_Type_ID">#REF!</definedName>
    <definedName name="G">'[11]МТР Газ України'!$B$1</definedName>
    <definedName name="Header" localSheetId="16">#REF!</definedName>
    <definedName name="Header" localSheetId="13">#REF!</definedName>
    <definedName name="Header" localSheetId="17">#REF!</definedName>
    <definedName name="Header">#REF!</definedName>
    <definedName name="ij1sssss" localSheetId="3">'[12]7  Інші витрати'!#REF!</definedName>
    <definedName name="ij1sssss" localSheetId="16">'[12]7  Інші витрати'!#REF!</definedName>
    <definedName name="ij1sssss" localSheetId="17">'[12]7  Інші витрати'!#REF!</definedName>
    <definedName name="ij1sssss">'[12]7  Інші витрати'!#REF!</definedName>
    <definedName name="LastItem">[13]Лист1!$A$1</definedName>
    <definedName name="Load">'[14]МТР Газ України'!$B$4</definedName>
    <definedName name="Load_ID">'[15]МТР Газ України'!$B$4</definedName>
    <definedName name="Load_ID_10" localSheetId="3">'[16]7  Інші витрати'!#REF!</definedName>
    <definedName name="Load_ID_10" localSheetId="16">'[16]7  Інші витрати'!#REF!</definedName>
    <definedName name="Load_ID_10" localSheetId="17">'[16]7  Інші витрати'!#REF!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n" localSheetId="13" hidden="1">{#N/A,#N/A,FALSE,"Лист4"}</definedName>
    <definedName name="n" hidden="1">{#N/A,#N/A,FALSE,"Лист4"}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QR">[22]Inform!$E$5</definedName>
    <definedName name="qw">[4]Inform!$E$5</definedName>
    <definedName name="qwert">[4]Inform!$G$2</definedName>
    <definedName name="qwerty">'[3]МТР Газ України'!$B$4</definedName>
    <definedName name="RText" localSheetId="16">#REF!</definedName>
    <definedName name="RText" localSheetId="13">#REF!</definedName>
    <definedName name="RText" localSheetId="17">#REF!</definedName>
    <definedName name="RText">#REF!</definedName>
    <definedName name="ShowFil" localSheetId="3">[13]!ShowFil</definedName>
    <definedName name="ShowFil" localSheetId="16">[13]!ShowFil</definedName>
    <definedName name="ShowFil" localSheetId="17">[13]!ShowFil</definedName>
    <definedName name="ShowFil">[13]!ShowFil</definedName>
    <definedName name="SU_ID" localSheetId="3">#REF!</definedName>
    <definedName name="SU_ID" localSheetId="16">#REF!</definedName>
    <definedName name="SU_ID" localSheetId="17">#REF!</definedName>
    <definedName name="SU_ID">#REF!</definedName>
    <definedName name="Summery" localSheetId="16">#REF!</definedName>
    <definedName name="Summery" localSheetId="13">#REF!</definedName>
    <definedName name="Summery" localSheetId="17">#REF!</definedName>
    <definedName name="Summery">#REF!</definedName>
    <definedName name="Time_ID">'[15]МТР Газ України'!$B$1</definedName>
    <definedName name="Time_ID_10" localSheetId="3">'[16]7  Інші витрати'!#REF!</definedName>
    <definedName name="Time_ID_10" localSheetId="16">'[16]7  Інші витрати'!#REF!</definedName>
    <definedName name="Time_ID_10" localSheetId="17">'[16]7  Інші витрати'!#REF!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 localSheetId="3">'[16]7  Інші витрати'!#REF!</definedName>
    <definedName name="Time_ID0_10" localSheetId="16">'[16]7  Інші витрати'!#REF!</definedName>
    <definedName name="Time_ID0_10" localSheetId="17">'[16]7  Інші витрати'!#REF!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itle" localSheetId="16">#REF!</definedName>
    <definedName name="Title" localSheetId="13">#REF!</definedName>
    <definedName name="Title" localSheetId="17">#REF!</definedName>
    <definedName name="Title">#REF!</definedName>
    <definedName name="ttttttt" localSheetId="3">#REF!</definedName>
    <definedName name="ttttttt" localSheetId="16">#REF!</definedName>
    <definedName name="ttttttt" localSheetId="17">#REF!</definedName>
    <definedName name="tttttt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QER">'[23]МТР Газ України'!$B$4</definedName>
    <definedName name="wr">'[23]МТР Газ України'!$B$4</definedName>
    <definedName name="wrn.Інструкція." localSheetId="13" hidden="1">{#N/A,#N/A,FALSE,"Лист4"}</definedName>
    <definedName name="wrn.Інструкція." hidden="1">{#N/A,#N/A,FALSE,"Лист4"}</definedName>
    <definedName name="yyyy" localSheetId="3">#REF!</definedName>
    <definedName name="yyyy" localSheetId="16">#REF!</definedName>
    <definedName name="yyyy" localSheetId="17">#REF!</definedName>
    <definedName name="yyyy">#REF!</definedName>
    <definedName name="zx">'[3]МТР Газ України'!$F$1</definedName>
    <definedName name="zxc">[4]Inform!$E$38</definedName>
    <definedName name="а" localSheetId="3">'[12]7  Інші витрати'!#REF!</definedName>
    <definedName name="а" localSheetId="16">'[12]7  Інші витрати'!#REF!</definedName>
    <definedName name="а" localSheetId="17">'[12]7  Інші витрати'!#REF!</definedName>
    <definedName name="а">'[12]7  Інші витрати'!#REF!</definedName>
    <definedName name="аа" localSheetId="13" hidden="1">{#N/A,#N/A,FALSE,"Лист4"}</definedName>
    <definedName name="аа" hidden="1">{#N/A,#N/A,FALSE,"Лист4"}</definedName>
    <definedName name="аааа" localSheetId="13" hidden="1">{#N/A,#N/A,FALSE,"Лист4"}</definedName>
    <definedName name="аааа" hidden="1">{#N/A,#N/A,FALSE,"Лист4"}</definedName>
    <definedName name="ааааа" localSheetId="13" hidden="1">{#N/A,#N/A,FALSE,"Лист4"}</definedName>
    <definedName name="ааааа" hidden="1">{#N/A,#N/A,FALSE,"Лист4"}</definedName>
    <definedName name="аааг" localSheetId="13" hidden="1">{#N/A,#N/A,FALSE,"Лист4"}</definedName>
    <definedName name="аааг" hidden="1">{#N/A,#N/A,FALSE,"Лист4"}</definedName>
    <definedName name="ааао" localSheetId="13" hidden="1">{#N/A,#N/A,FALSE,"Лист4"}</definedName>
    <definedName name="ааао" hidden="1">{#N/A,#N/A,FALSE,"Лист4"}</definedName>
    <definedName name="аааоркк" localSheetId="13" hidden="1">{#N/A,#N/A,FALSE,"Лист4"}</definedName>
    <definedName name="аааоркк" hidden="1">{#N/A,#N/A,FALSE,"Лист4"}</definedName>
    <definedName name="аарр" localSheetId="13" hidden="1">{#N/A,#N/A,FALSE,"Лист4"}</definedName>
    <definedName name="аарр" hidden="1">{#N/A,#N/A,FALSE,"Лист4"}</definedName>
    <definedName name="ав" localSheetId="3">#REF!</definedName>
    <definedName name="ав" localSheetId="16">#REF!</definedName>
    <definedName name="ав" localSheetId="17">#REF!</definedName>
    <definedName name="ав">#REF!</definedName>
    <definedName name="аен">'[23]МТР Газ України'!$B$4</definedName>
    <definedName name="амп" localSheetId="13" hidden="1">{#N/A,#N/A,FALSE,"Лист4"}</definedName>
    <definedName name="амп" hidden="1">{#N/A,#N/A,FALSE,"Лист4"}</definedName>
    <definedName name="ап" localSheetId="13" hidden="1">{#N/A,#N/A,FALSE,"Лист4"}</definedName>
    <definedName name="ап" hidden="1">{#N/A,#N/A,FALSE,"Лист4"}</definedName>
    <definedName name="апро" localSheetId="13" hidden="1">{#N/A,#N/A,FALSE,"Лист4"}</definedName>
    <definedName name="апро" hidden="1">{#N/A,#N/A,FALSE,"Лист4"}</definedName>
    <definedName name="аунуну" localSheetId="13" hidden="1">{#N/A,#N/A,FALSE,"Лист4"}</definedName>
    <definedName name="аунуну" hidden="1">{#N/A,#N/A,FALSE,"Лист4"}</definedName>
    <definedName name="_xlnm.Database" localSheetId="13">'[24]1111'!$B$1:$G$310</definedName>
    <definedName name="_xlnm.Database" localSheetId="11">'[24]1111'!$B$1:$G$310</definedName>
    <definedName name="_xlnm.Database" localSheetId="18">'[24]1111'!$B$1:$G$310</definedName>
    <definedName name="_xlnm.Database">'[25]Ener '!$A$1:$G$2645</definedName>
    <definedName name="бб" localSheetId="13" hidden="1">{#N/A,#N/A,FALSE,"Лист4"}</definedName>
    <definedName name="бб" hidden="1">{#N/A,#N/A,FALSE,"Лист4"}</definedName>
    <definedName name="в">'[26]МТР Газ України'!$F$1</definedName>
    <definedName name="Валюта" localSheetId="16">#REF!</definedName>
    <definedName name="Валюта" localSheetId="13">#REF!</definedName>
    <definedName name="Валюта" localSheetId="17">#REF!</definedName>
    <definedName name="Валюта" localSheetId="18">#REF!</definedName>
    <definedName name="Валюта">#REF!</definedName>
    <definedName name="вап" localSheetId="13" hidden="1">{#N/A,#N/A,FALSE,"Лист4"}</definedName>
    <definedName name="вап" hidden="1">{#N/A,#N/A,FALSE,"Лист4"}</definedName>
    <definedName name="вапа" localSheetId="13" hidden="1">{#N/A,#N/A,FALSE,"Лист4"}</definedName>
    <definedName name="вапа" hidden="1">{#N/A,#N/A,FALSE,"Лист4"}</definedName>
    <definedName name="вапро" localSheetId="13" hidden="1">{#N/A,#N/A,FALSE,"Лист4"}</definedName>
    <definedName name="вапро" hidden="1">{#N/A,#N/A,FALSE,"Лист4"}</definedName>
    <definedName name="ВАТ__Укртелеком" localSheetId="16">#REF!</definedName>
    <definedName name="ВАТ__Укртелеком" localSheetId="13">#REF!</definedName>
    <definedName name="ВАТ__Укртелеком" localSheetId="17">#REF!</definedName>
    <definedName name="ВАТ__Укртелеком" localSheetId="18">#REF!</definedName>
    <definedName name="ВАТ__Укртелеком">#REF!</definedName>
    <definedName name="ватт" localSheetId="3">'[27]БАЗА  '!#REF!</definedName>
    <definedName name="ватт" localSheetId="16">'[27]БАЗА  '!#REF!</definedName>
    <definedName name="ватт" localSheetId="17">'[27]БАЗА  '!#REF!</definedName>
    <definedName name="ватт">'[27]БАЗА  '!#REF!</definedName>
    <definedName name="вау" localSheetId="13" hidden="1">{#N/A,#N/A,FALSE,"Лист4"}</definedName>
    <definedName name="вау" hidden="1">{#N/A,#N/A,FALSE,"Лист4"}</definedName>
    <definedName name="вв" localSheetId="13" hidden="1">{#N/A,#N/A,FALSE,"Лист4"}</definedName>
    <definedName name="вв" hidden="1">{#N/A,#N/A,FALSE,"Лист4"}</definedName>
    <definedName name="Віницька" localSheetId="16">#REF!</definedName>
    <definedName name="Віницька" localSheetId="13">#REF!</definedName>
    <definedName name="Віницька" localSheetId="17">#REF!</definedName>
    <definedName name="Віницька" localSheetId="18">#REF!</definedName>
    <definedName name="Віницька">#REF!</definedName>
    <definedName name="вмр" localSheetId="13" hidden="1">{#N/A,#N/A,FALSE,"Лист4"}</definedName>
    <definedName name="вмр" hidden="1">{#N/A,#N/A,FALSE,"Лист4"}</definedName>
    <definedName name="Волинська" localSheetId="16">#REF!</definedName>
    <definedName name="Волинська" localSheetId="13">#REF!</definedName>
    <definedName name="Волинська" localSheetId="17">#REF!</definedName>
    <definedName name="Волинська" localSheetId="18">#REF!</definedName>
    <definedName name="Волинська">#REF!</definedName>
    <definedName name="вруу" localSheetId="13" hidden="1">{#N/A,#N/A,FALSE,"Лист4"}</definedName>
    <definedName name="вруу" hidden="1">{#N/A,#N/A,FALSE,"Лист4"}</definedName>
    <definedName name="врууунуууу" localSheetId="13" hidden="1">{#N/A,#N/A,FALSE,"Лист4"}</definedName>
    <definedName name="врууунуууу" hidden="1">{#N/A,#N/A,FALSE,"Лист4"}</definedName>
    <definedName name="ВсегоДбОстНаКонецПериода" localSheetId="16">#REF!</definedName>
    <definedName name="ВсегоДбОстНаКонецПериода" localSheetId="13">#REF!</definedName>
    <definedName name="ВсегоДбОстНаКонецПериода" localSheetId="17">#REF!</definedName>
    <definedName name="ВсегоДбОстНаКонецПериода">#REF!</definedName>
    <definedName name="ВсегоДбОстНаНачалоПериода" localSheetId="16">#REF!</definedName>
    <definedName name="ВсегоДбОстНаНачалоПериода" localSheetId="13">#REF!</definedName>
    <definedName name="ВсегоДбОстНаНачалоПериода" localSheetId="17">#REF!</definedName>
    <definedName name="ВсегоДбОстНаНачалоПериода">#REF!</definedName>
    <definedName name="ВсегоКрОстНаКонецПериода" localSheetId="16">#REF!</definedName>
    <definedName name="ВсегоКрОстНаКонецПериода" localSheetId="13">#REF!</definedName>
    <definedName name="ВсегоКрОстНаКонецПериода" localSheetId="17">#REF!</definedName>
    <definedName name="ВсегоКрОстНаКонецПериода">#REF!</definedName>
    <definedName name="ВсегоКрОстНаНачалоПериода" localSheetId="16">#REF!</definedName>
    <definedName name="ВсегоКрОстНаНачалоПериода" localSheetId="13">#REF!</definedName>
    <definedName name="ВсегоКрОстНаНачалоПериода" localSheetId="17">#REF!</definedName>
    <definedName name="ВсегоКрОстНаНачалоПериода">#REF!</definedName>
    <definedName name="ВсегоОборотПоДебету" localSheetId="16">#REF!</definedName>
    <definedName name="ВсегоОборотПоДебету" localSheetId="13">#REF!</definedName>
    <definedName name="ВсегоОборотПоДебету" localSheetId="17">#REF!</definedName>
    <definedName name="ВсегоОборотПоДебету">#REF!</definedName>
    <definedName name="ВсегоОборотПоКредиту" localSheetId="16">#REF!</definedName>
    <definedName name="ВсегоОборотПоКредиту" localSheetId="13">#REF!</definedName>
    <definedName name="ВсегоОборотПоКредиту" localSheetId="17">#REF!</definedName>
    <definedName name="ВсегоОборотПоКредиту">#REF!</definedName>
    <definedName name="Всього" localSheetId="16">#REF!</definedName>
    <definedName name="Всього" localSheetId="13">#REF!</definedName>
    <definedName name="Всього" localSheetId="17">#REF!</definedName>
    <definedName name="Всього" localSheetId="18">#REF!</definedName>
    <definedName name="Всього">#REF!</definedName>
    <definedName name="гг" localSheetId="13" hidden="1">{#N/A,#N/A,FALSE,"Лист4"}</definedName>
    <definedName name="гг" hidden="1">{#N/A,#N/A,FALSE,"Лист4"}</definedName>
    <definedName name="ггг" localSheetId="13" hidden="1">{#N/A,#N/A,FALSE,"Лист4"}</definedName>
    <definedName name="ггг" hidden="1">{#N/A,#N/A,FALSE,"Лист4"}</definedName>
    <definedName name="гго" localSheetId="13" hidden="1">{#N/A,#N/A,FALSE,"Лист4"}</definedName>
    <definedName name="гго" hidden="1">{#N/A,#N/A,FALSE,"Лист4"}</definedName>
    <definedName name="ггшшз" localSheetId="13" hidden="1">{#N/A,#N/A,FALSE,"Лист4"}</definedName>
    <definedName name="ггшшз" hidden="1">{#N/A,#N/A,FALSE,"Лист4"}</definedName>
    <definedName name="гр" localSheetId="13" hidden="1">{#N/A,#N/A,FALSE,"Лист4"}</definedName>
    <definedName name="гр" hidden="1">{#N/A,#N/A,FALSE,"Лист4"}</definedName>
    <definedName name="Д">'[14]МТР Газ України'!$B$4</definedName>
    <definedName name="ДбВалОстНаКонецПериода" localSheetId="16">#REF!</definedName>
    <definedName name="ДбВалОстНаКонецПериода" localSheetId="13">#REF!</definedName>
    <definedName name="ДбВалОстНаКонецПериода" localSheetId="17">#REF!</definedName>
    <definedName name="ДбВалОстНаКонецПериода">#REF!</definedName>
    <definedName name="ДбВалОстНаНачалоПериода" localSheetId="16">#REF!</definedName>
    <definedName name="ДбВалОстНаНачалоПериода" localSheetId="13">#REF!</definedName>
    <definedName name="ДбВалОстНаНачалоПериода" localSheetId="17">#REF!</definedName>
    <definedName name="ДбВалОстНаНачалоПериода">#REF!</definedName>
    <definedName name="ДбОстНаКонецПериода" localSheetId="16">#REF!</definedName>
    <definedName name="ДбОстНаКонецПериода" localSheetId="13">#REF!</definedName>
    <definedName name="ДбОстНаКонецПериода" localSheetId="17">#REF!</definedName>
    <definedName name="ДбОстНаКонецПериода">#REF!</definedName>
    <definedName name="ДбОстНаНачалоПериода" localSheetId="16">#REF!</definedName>
    <definedName name="ДбОстНаНачалоПериода" localSheetId="13">#REF!</definedName>
    <definedName name="ДбОстНаНачалоПериода" localSheetId="17">#REF!</definedName>
    <definedName name="ДбОстНаНачалоПериода">#REF!</definedName>
    <definedName name="ддд" localSheetId="13" hidden="1">{#N/A,#N/A,FALSE,"Лист4"}</definedName>
    <definedName name="ддд" hidden="1">{#N/A,#N/A,FALSE,"Лист4"}</definedName>
    <definedName name="Дніпропетровська" localSheetId="16">#REF!</definedName>
    <definedName name="Дніпропетровська" localSheetId="13">#REF!</definedName>
    <definedName name="Дніпропетровська" localSheetId="17">#REF!</definedName>
    <definedName name="Дніпропетровська" localSheetId="18">#REF!</definedName>
    <definedName name="Дніпропетровська">#REF!</definedName>
    <definedName name="до_1_року">'0'!$G$3:$G$4</definedName>
    <definedName name="Донецька" localSheetId="16">#REF!,#REF!,#REF!</definedName>
    <definedName name="Донецька" localSheetId="13">#REF!,#REF!,#REF!</definedName>
    <definedName name="Донецька" localSheetId="17">#REF!,#REF!,#REF!</definedName>
    <definedName name="Донецька" localSheetId="18">#REF!,#REF!,#REF!</definedName>
    <definedName name="Донецька">#REF!,#REF!,#REF!</definedName>
    <definedName name="ДПМ" localSheetId="16">#REF!</definedName>
    <definedName name="ДПМ" localSheetId="13">#REF!</definedName>
    <definedName name="ДПМ" localSheetId="17">#REF!</definedName>
    <definedName name="ДПМ" localSheetId="18">#REF!</definedName>
    <definedName name="ДПМ">#REF!</definedName>
    <definedName name="е" localSheetId="3">#REF!</definedName>
    <definedName name="е" localSheetId="16">#REF!</definedName>
    <definedName name="е" localSheetId="13" hidden="1">{#N/A,#N/A,FALSE,"Лист4"}</definedName>
    <definedName name="е" localSheetId="17">#REF!</definedName>
    <definedName name="е" localSheetId="11" hidden="1">{#N/A,#N/A,FALSE,"Лист4"}</definedName>
    <definedName name="е">#REF!</definedName>
    <definedName name="ее" localSheetId="13" hidden="1">{#N/A,#N/A,FALSE,"Лист4"}</definedName>
    <definedName name="ее" hidden="1">{#N/A,#N/A,FALSE,"Лист4"}</definedName>
    <definedName name="ееге" localSheetId="13" hidden="1">{#N/A,#N/A,FALSE,"Лист4"}</definedName>
    <definedName name="ееге" hidden="1">{#N/A,#N/A,FALSE,"Лист4"}</definedName>
    <definedName name="еегше" localSheetId="13" hidden="1">{#N/A,#N/A,FALSE,"Лист4"}</definedName>
    <definedName name="еегше" hidden="1">{#N/A,#N/A,FALSE,"Лист4"}</definedName>
    <definedName name="еее" localSheetId="13" hidden="1">{#N/A,#N/A,FALSE,"Лист4"}</definedName>
    <definedName name="еее" hidden="1">{#N/A,#N/A,FALSE,"Лист4"}</definedName>
    <definedName name="ееее" localSheetId="13" hidden="1">{#N/A,#N/A,FALSE,"Лист4"}</definedName>
    <definedName name="ееее" hidden="1">{#N/A,#N/A,FALSE,"Лист4"}</definedName>
    <definedName name="ееекк" localSheetId="13" hidden="1">{#N/A,#N/A,FALSE,"Лист4"}</definedName>
    <definedName name="ееекк" hidden="1">{#N/A,#N/A,FALSE,"Лист4"}</definedName>
    <definedName name="еепке" localSheetId="13" hidden="1">{#N/A,#N/A,FALSE,"Лист4"}</definedName>
    <definedName name="еепке" hidden="1">{#N/A,#N/A,FALSE,"Лист4"}</definedName>
    <definedName name="еешгег" localSheetId="13" hidden="1">{#N/A,#N/A,FALSE,"Лист4"}</definedName>
    <definedName name="еешгег" hidden="1">{#N/A,#N/A,FALSE,"Лист4"}</definedName>
    <definedName name="екуц" localSheetId="13" hidden="1">{#N/A,#N/A,FALSE,"Лист4"}</definedName>
    <definedName name="екуц" hidden="1">{#N/A,#N/A,FALSE,"Лист4"}</definedName>
    <definedName name="енг" localSheetId="13" hidden="1">{#N/A,#N/A,FALSE,"Лист4"}</definedName>
    <definedName name="енг" hidden="1">{#N/A,#N/A,FALSE,"Лист4"}</definedName>
    <definedName name="епи" localSheetId="13" hidden="1">{#N/A,#N/A,FALSE,"Лист4"}</definedName>
    <definedName name="епи" hidden="1">{#N/A,#N/A,FALSE,"Лист4"}</definedName>
    <definedName name="ешгееуу" localSheetId="13" hidden="1">{#N/A,#N/A,FALSE,"Лист4"}</definedName>
    <definedName name="ешгееуу" hidden="1">{#N/A,#N/A,FALSE,"Лист4"}</definedName>
    <definedName name="є" localSheetId="3">#REF!</definedName>
    <definedName name="є" localSheetId="16">#REF!</definedName>
    <definedName name="є" localSheetId="13" hidden="1">{#N/A,#N/A,FALSE,"Лист4"}</definedName>
    <definedName name="є" localSheetId="17">#REF!</definedName>
    <definedName name="є" localSheetId="11" hidden="1">{#N/A,#N/A,FALSE,"Лист4"}</definedName>
    <definedName name="є">#REF!</definedName>
    <definedName name="єєє" localSheetId="13" hidden="1">{#N/A,#N/A,FALSE,"Лист4"}</definedName>
    <definedName name="єєє" hidden="1">{#N/A,#N/A,FALSE,"Лист4"}</definedName>
    <definedName name="єєєєєє" localSheetId="13" hidden="1">{#N/A,#N/A,FALSE,"Лист4"}</definedName>
    <definedName name="єєєєєє" hidden="1">{#N/A,#N/A,FALSE,"Лист4"}</definedName>
    <definedName name="єєєєєєє" localSheetId="13" hidden="1">{#N/A,#N/A,FALSE,"Лист4"}</definedName>
    <definedName name="єєєєєєє" hidden="1">{#N/A,#N/A,FALSE,"Лист4"}</definedName>
    <definedName name="єєєєєєє." localSheetId="13" hidden="1">{#N/A,#N/A,FALSE,"Лист4"}</definedName>
    <definedName name="єєєєєєє." hidden="1">{#N/A,#N/A,FALSE,"Лист4"}</definedName>
    <definedName name="єж" localSheetId="13" hidden="1">{#N/A,#N/A,FALSE,"Лист4"}</definedName>
    <definedName name="єж" hidden="1">{#N/A,#N/A,FALSE,"Лист4"}</definedName>
    <definedName name="жж" localSheetId="13" hidden="1">{#N/A,#N/A,FALSE,"Лист4"}</definedName>
    <definedName name="жж" hidden="1">{#N/A,#N/A,FALSE,"Лист4"}</definedName>
    <definedName name="житлове" localSheetId="13" hidden="1">{#N/A,#N/A,FALSE,"Лист4"}</definedName>
    <definedName name="житлове" hidden="1">{#N/A,#N/A,FALSE,"Лист4"}</definedName>
    <definedName name="Житомирська" localSheetId="16">#REF!</definedName>
    <definedName name="Житомирська" localSheetId="13">#REF!</definedName>
    <definedName name="Житомирська" localSheetId="17">#REF!</definedName>
    <definedName name="Житомирська" localSheetId="18">#REF!</definedName>
    <definedName name="Житомирська">#REF!</definedName>
    <definedName name="_xlnm.Print_Titles" localSheetId="0">'!!! ФІНАНСОВИЙ ПЛАН 2023 !!!'!$34:$36</definedName>
    <definedName name="Заголовки_для_печати_МИ">'[28]1993'!$A$1:$IV$3,'[28]1993'!$A$1:$A$65536</definedName>
    <definedName name="Закарпатська" localSheetId="16">#REF!,#REF!,#REF!</definedName>
    <definedName name="Закарпатська" localSheetId="13">#REF!,#REF!,#REF!</definedName>
    <definedName name="Закарпатська" localSheetId="17">#REF!,#REF!,#REF!</definedName>
    <definedName name="Закарпатська" localSheetId="18">#REF!,#REF!,#REF!</definedName>
    <definedName name="Закарпатська">#REF!,#REF!,#REF!</definedName>
    <definedName name="здоровя" localSheetId="13" hidden="1">{#N/A,#N/A,FALSE,"Лист4"}</definedName>
    <definedName name="здоровя" hidden="1">{#N/A,#N/A,FALSE,"Лист4"}</definedName>
    <definedName name="зз" localSheetId="13" hidden="1">{#N/A,#N/A,FALSE,"Лист4"}</definedName>
    <definedName name="зз" hidden="1">{#N/A,#N/A,FALSE,"Лист4"}</definedName>
    <definedName name="ззз" localSheetId="13" hidden="1">{#N/A,#N/A,FALSE,"Лист4"}</definedName>
    <definedName name="ззз" hidden="1">{#N/A,#N/A,FALSE,"Лист4"}</definedName>
    <definedName name="зззз" localSheetId="13" hidden="1">{#N/A,#N/A,FALSE,"Лист4"}</definedName>
    <definedName name="зззз" hidden="1">{#N/A,#N/A,FALSE,"Лист4"}</definedName>
    <definedName name="Зопорізька" localSheetId="16">#REF!</definedName>
    <definedName name="Зопорізька" localSheetId="13">#REF!</definedName>
    <definedName name="Зопорізька" localSheetId="17">#REF!</definedName>
    <definedName name="Зопорізька" localSheetId="18">#REF!</definedName>
    <definedName name="Зопорізька">#REF!</definedName>
    <definedName name="ип" localSheetId="13" hidden="1">{#N/A,#N/A,FALSE,"Лист4"}</definedName>
    <definedName name="ип" hidden="1">{#N/A,#N/A,FALSE,"Лист4"}</definedName>
    <definedName name="ить" localSheetId="13" hidden="1">{#N/A,#N/A,FALSE,"Лист4"}</definedName>
    <definedName name="ить" hidden="1">{#N/A,#N/A,FALSE,"Лист4"}</definedName>
    <definedName name="і">[29]Inform!$F$2</definedName>
    <definedName name="ів" localSheetId="3">#REF!</definedName>
    <definedName name="ів" localSheetId="16">#REF!</definedName>
    <definedName name="ів" localSheetId="17">#REF!</definedName>
    <definedName name="ів">#REF!</definedName>
    <definedName name="Ів.Франківська" localSheetId="16">#REF!</definedName>
    <definedName name="Ів.Франківська" localSheetId="13">#REF!</definedName>
    <definedName name="Ів.Франківська" localSheetId="17">#REF!</definedName>
    <definedName name="Ів.Франківська" localSheetId="18">#REF!</definedName>
    <definedName name="Ів.Франківська">#REF!</definedName>
    <definedName name="Ів.Франковська" localSheetId="16">#REF!,#REF!,#REF!</definedName>
    <definedName name="Ів.Франковська" localSheetId="13">#REF!,#REF!,#REF!</definedName>
    <definedName name="Ів.Франковська" localSheetId="17">#REF!,#REF!,#REF!</definedName>
    <definedName name="Ів.Франковська" localSheetId="18">#REF!,#REF!,#REF!</definedName>
    <definedName name="Ів.Франковська">#REF!,#REF!,#REF!</definedName>
    <definedName name="ів___0" localSheetId="3">#REF!</definedName>
    <definedName name="ів___0" localSheetId="16">#REF!</definedName>
    <definedName name="ів___0" localSheetId="17">#REF!</definedName>
    <definedName name="ів___0">#REF!</definedName>
    <definedName name="ів_22" localSheetId="3">#REF!</definedName>
    <definedName name="ів_22" localSheetId="16">#REF!</definedName>
    <definedName name="ів_22" localSheetId="17">#REF!</definedName>
    <definedName name="ів_22">#REF!</definedName>
    <definedName name="ів_26" localSheetId="3">#REF!</definedName>
    <definedName name="ів_26" localSheetId="16">#REF!</definedName>
    <definedName name="ів_26" localSheetId="17">#REF!</definedName>
    <definedName name="ів_26">#REF!</definedName>
    <definedName name="іваа" localSheetId="13" hidden="1">{#N/A,#N/A,FALSE,"Лист4"}</definedName>
    <definedName name="іваа" hidden="1">{#N/A,#N/A,FALSE,"Лист4"}</definedName>
    <definedName name="іваіа" localSheetId="3">'[30]7  Інші витрати'!#REF!</definedName>
    <definedName name="іваіа" localSheetId="16">'[30]7  Інші витрати'!#REF!</definedName>
    <definedName name="іваіа" localSheetId="17">'[30]7  Інші витрати'!#REF!</definedName>
    <definedName name="іваіа">'[30]7  Інші витрати'!#REF!</definedName>
    <definedName name="івап" localSheetId="13" hidden="1">{#N/A,#N/A,FALSE,"Лист4"}</definedName>
    <definedName name="івап" hidden="1">{#N/A,#N/A,FALSE,"Лист4"}</definedName>
    <definedName name="іваф" localSheetId="3">#REF!</definedName>
    <definedName name="іваф" localSheetId="16">#REF!</definedName>
    <definedName name="іваф" localSheetId="17">#REF!</definedName>
    <definedName name="іваф">#REF!</definedName>
    <definedName name="івів">'[11]МТР Газ України'!$B$1</definedName>
    <definedName name="івпа" localSheetId="13" hidden="1">{#N/A,#N/A,FALSE,"Лист4"}</definedName>
    <definedName name="івпа" hidden="1">{#N/A,#N/A,FALSE,"Лист4"}</definedName>
    <definedName name="іі" localSheetId="13" hidden="1">{#N/A,#N/A,FALSE,"Лист4"}</definedName>
    <definedName name="іі" hidden="1">{#N/A,#N/A,FALSE,"Лист4"}</definedName>
    <definedName name="ііі" localSheetId="13" hidden="1">{#N/A,#N/A,FALSE,"Лист4"}</definedName>
    <definedName name="ііі" hidden="1">{#N/A,#N/A,FALSE,"Лист4"}</definedName>
    <definedName name="іііі" localSheetId="13" hidden="1">{#N/A,#N/A,FALSE,"Лист4"}</definedName>
    <definedName name="іііі" hidden="1">{#N/A,#N/A,FALSE,"Лист4"}</definedName>
    <definedName name="ін" localSheetId="13" hidden="1">{#N/A,#N/A,FALSE,"Лист4"}</definedName>
    <definedName name="ін" hidden="1">{#N/A,#N/A,FALSE,"Лист4"}</definedName>
    <definedName name="інші" localSheetId="13" hidden="1">{#N/A,#N/A,FALSE,"Лист4"}</definedName>
    <definedName name="інші" hidden="1">{#N/A,#N/A,FALSE,"Лист4"}</definedName>
    <definedName name="іук" localSheetId="13" hidden="1">{#N/A,#N/A,FALSE,"Лист4"}</definedName>
    <definedName name="іук" hidden="1">{#N/A,#N/A,FALSE,"Лист4"}</definedName>
    <definedName name="іцу">[22]Inform!$G$2</definedName>
    <definedName name="їжд" localSheetId="13" hidden="1">{#N/A,#N/A,FALSE,"Лист4"}</definedName>
    <definedName name="їжд" hidden="1">{#N/A,#N/A,FALSE,"Лист4"}</definedName>
    <definedName name="ййй" localSheetId="13" hidden="1">{#N/A,#N/A,FALSE,"Лист4"}</definedName>
    <definedName name="ййй" hidden="1">{#N/A,#N/A,FALSE,"Лист4"}</definedName>
    <definedName name="йййй" localSheetId="13" hidden="1">{#N/A,#N/A,FALSE,"Лист4"}</definedName>
    <definedName name="йййй" hidden="1">{#N/A,#N/A,FALSE,"Лист4"}</definedName>
    <definedName name="йуц" localSheetId="3">#REF!</definedName>
    <definedName name="йуц" localSheetId="16">#REF!</definedName>
    <definedName name="йуц" localSheetId="17">#REF!</definedName>
    <definedName name="йуц">#REF!</definedName>
    <definedName name="йцу" localSheetId="3">#REF!</definedName>
    <definedName name="йцу" localSheetId="16">#REF!</definedName>
    <definedName name="йцу" localSheetId="17">#REF!</definedName>
    <definedName name="йцу">#REF!</definedName>
    <definedName name="йцуйй" localSheetId="3">#REF!</definedName>
    <definedName name="йцуйй" localSheetId="16">#REF!</definedName>
    <definedName name="йцуйй" localSheetId="17">#REF!</definedName>
    <definedName name="йцуйй">#REF!</definedName>
    <definedName name="йцукц" localSheetId="3">'[30]7  Інші витрати'!#REF!</definedName>
    <definedName name="йцукц" localSheetId="16">'[30]7  Інші витрати'!#REF!</definedName>
    <definedName name="йцукц" localSheetId="17">'[30]7  Інші витрати'!#REF!</definedName>
    <definedName name="йцукц">'[30]7  Інші витрати'!#REF!</definedName>
    <definedName name="кгккг" localSheetId="13" hidden="1">{#N/A,#N/A,FALSE,"Лист4"}</definedName>
    <definedName name="кгккг" hidden="1">{#N/A,#N/A,FALSE,"Лист4"}</definedName>
    <definedName name="кгкккк" localSheetId="13" hidden="1">{#N/A,#N/A,FALSE,"Лист4"}</definedName>
    <definedName name="кгкккк" hidden="1">{#N/A,#N/A,FALSE,"Лист4"}</definedName>
    <definedName name="КЕ" localSheetId="3">#REF!</definedName>
    <definedName name="КЕ" localSheetId="16">#REF!</definedName>
    <definedName name="КЕ" localSheetId="17">#REF!</definedName>
    <definedName name="КЕ">#REF!</definedName>
    <definedName name="КЕ___0" localSheetId="3">#REF!</definedName>
    <definedName name="КЕ___0" localSheetId="16">#REF!</definedName>
    <definedName name="КЕ___0" localSheetId="17">#REF!</definedName>
    <definedName name="КЕ___0">#REF!</definedName>
    <definedName name="КЕ_22" localSheetId="3">#REF!</definedName>
    <definedName name="КЕ_22" localSheetId="16">#REF!</definedName>
    <definedName name="КЕ_22" localSheetId="17">#REF!</definedName>
    <definedName name="КЕ_22">#REF!</definedName>
    <definedName name="КЕ_26" localSheetId="3">#REF!</definedName>
    <definedName name="КЕ_26" localSheetId="16">#REF!</definedName>
    <definedName name="КЕ_26" localSheetId="17">#REF!</definedName>
    <definedName name="КЕ_26">#REF!</definedName>
    <definedName name="кен" localSheetId="3">#REF!</definedName>
    <definedName name="кен" localSheetId="16">#REF!</definedName>
    <definedName name="кен" localSheetId="17">#REF!</definedName>
    <definedName name="кен">#REF!</definedName>
    <definedName name="кеуц" localSheetId="13" hidden="1">{#N/A,#N/A,FALSE,"Лист4"}</definedName>
    <definedName name="кеуц" hidden="1">{#N/A,#N/A,FALSE,"Лист4"}</definedName>
    <definedName name="Київська" localSheetId="16">#REF!</definedName>
    <definedName name="Київська" localSheetId="13">#REF!</definedName>
    <definedName name="Київська" localSheetId="17">#REF!</definedName>
    <definedName name="Київська" localSheetId="18">#REF!</definedName>
    <definedName name="Київська">#REF!</definedName>
    <definedName name="Кировоградська" localSheetId="16">#REF!</definedName>
    <definedName name="Кировоградська" localSheetId="13">#REF!</definedName>
    <definedName name="Кировоградська" localSheetId="17">#REF!</definedName>
    <definedName name="Кировоградська" localSheetId="18">#REF!</definedName>
    <definedName name="Кировоградська">#REF!</definedName>
    <definedName name="Кіровоградська" localSheetId="16">#REF!</definedName>
    <definedName name="Кіровоградська" localSheetId="13">#REF!</definedName>
    <definedName name="Кіровоградська" localSheetId="17">#REF!</definedName>
    <definedName name="Кіровоградська" localSheetId="18">#REF!</definedName>
    <definedName name="Кіровоградська">#REF!</definedName>
    <definedName name="кк" localSheetId="13" hidden="1">{#N/A,#N/A,FALSE,"Лист4"}</definedName>
    <definedName name="кк" hidden="1">{#N/A,#N/A,FALSE,"Лист4"}</definedName>
    <definedName name="ккгкг" localSheetId="13" hidden="1">{#N/A,#N/A,FALSE,"Лист4"}</definedName>
    <definedName name="ккгкг" hidden="1">{#N/A,#N/A,FALSE,"Лист4"}</definedName>
    <definedName name="ккк" localSheetId="13" hidden="1">{#N/A,#N/A,FALSE,"Лист4"}</definedName>
    <definedName name="ккк" hidden="1">{#N/A,#N/A,FALSE,"Лист4"}</definedName>
    <definedName name="кккну" localSheetId="13" hidden="1">{#N/A,#N/A,FALSE,"Лист4"}</definedName>
    <definedName name="кккну" hidden="1">{#N/A,#N/A,FALSE,"Лист4"}</definedName>
    <definedName name="кккокк" localSheetId="13" hidden="1">{#N/A,#N/A,FALSE,"Лист4"}</definedName>
    <definedName name="кккокк" hidden="1">{#N/A,#N/A,FALSE,"Лист4"}</definedName>
    <definedName name="КодВалюты" localSheetId="16">#REF!</definedName>
    <definedName name="КодВалюты" localSheetId="13">#REF!</definedName>
    <definedName name="КодВалюты" localSheetId="17">#REF!</definedName>
    <definedName name="КодВалюты">#REF!</definedName>
    <definedName name="комунальне" localSheetId="13" hidden="1">{#N/A,#N/A,FALSE,"Лист4"}</definedName>
    <definedName name="комунальне" hidden="1">{#N/A,#N/A,FALSE,"Лист4"}</definedName>
    <definedName name="кот" localSheetId="13" hidden="1">{#N/A,#N/A,FALSE,"Лист4"}</definedName>
    <definedName name="кот" hidden="1">{#N/A,#N/A,FALSE,"Лист4"}</definedName>
    <definedName name="кр" localSheetId="13" hidden="1">{#N/A,#N/A,FALSE,"Лист4"}</definedName>
    <definedName name="кр" hidden="1">{#N/A,#N/A,FALSE,"Лист4"}</definedName>
    <definedName name="КрВалОстНаКонецПериода" localSheetId="16">#REF!</definedName>
    <definedName name="КрВалОстНаКонецПериода" localSheetId="13">#REF!</definedName>
    <definedName name="КрВалОстНаКонецПериода" localSheetId="17">#REF!</definedName>
    <definedName name="КрВалОстНаКонецПериода">#REF!</definedName>
    <definedName name="КрВалОстНаНачалоПериода" localSheetId="16">#REF!</definedName>
    <definedName name="КрВалОстНаНачалоПериода" localSheetId="13">#REF!</definedName>
    <definedName name="КрВалОстНаНачалоПериода" localSheetId="17">#REF!</definedName>
    <definedName name="КрВалОстНаНачалоПериода">#REF!</definedName>
    <definedName name="Кримська" localSheetId="16">#REF!</definedName>
    <definedName name="Кримська" localSheetId="13">#REF!</definedName>
    <definedName name="Кримська" localSheetId="17">#REF!</definedName>
    <definedName name="Кримська" localSheetId="18">#REF!</definedName>
    <definedName name="Кримська">#REF!</definedName>
    <definedName name="КрОстНаКонецПериода" localSheetId="16">#REF!</definedName>
    <definedName name="КрОстНаКонецПериода" localSheetId="13">#REF!</definedName>
    <definedName name="КрОстНаКонецПериода" localSheetId="17">#REF!</definedName>
    <definedName name="КрОстНаКонецПериода">#REF!</definedName>
    <definedName name="КрОстНаНачалоПериода" localSheetId="16">#REF!</definedName>
    <definedName name="КрОстНаНачалоПериода" localSheetId="13">#REF!</definedName>
    <definedName name="КрОстНаНачалоПериода" localSheetId="17">#REF!</definedName>
    <definedName name="КрОстНаНачалоПериода">#REF!</definedName>
    <definedName name="культура" localSheetId="13" hidden="1">{#N/A,#N/A,FALSE,"Лист4"}</definedName>
    <definedName name="культура" hidden="1">{#N/A,#N/A,FALSE,"Лист4"}</definedName>
    <definedName name="л" localSheetId="3">#REF!</definedName>
    <definedName name="л" localSheetId="16">#REF!</definedName>
    <definedName name="л" localSheetId="13" hidden="1">{#N/A,#N/A,FALSE,"Лист4"}</definedName>
    <definedName name="л" localSheetId="17">#REF!</definedName>
    <definedName name="л" localSheetId="11" hidden="1">{#N/A,#N/A,FALSE,"Лист4"}</definedName>
    <definedName name="л">#REF!</definedName>
    <definedName name="лд" localSheetId="13" hidden="1">{#N/A,#N/A,FALSE,"Лист4"}</definedName>
    <definedName name="лд" hidden="1">{#N/A,#N/A,FALSE,"Лист4"}</definedName>
    <definedName name="лікарі">Доходи!$A$2:$B$2</definedName>
    <definedName name="лл" localSheetId="13" hidden="1">{#N/A,#N/A,FALSE,"Лист4"}</definedName>
    <definedName name="лл" hidden="1">{#N/A,#N/A,FALSE,"Лист4"}</definedName>
    <definedName name="ллл" localSheetId="13" hidden="1">{#N/A,#N/A,FALSE,"Лист4"}</definedName>
    <definedName name="ллл" hidden="1">{#N/A,#N/A,FALSE,"Лист4"}</definedName>
    <definedName name="лнпллпл" localSheetId="13" hidden="1">{#N/A,#N/A,FALSE,"Лист4"}</definedName>
    <definedName name="лнпллпл" hidden="1">{#N/A,#N/A,FALSE,"Лист4"}</definedName>
    <definedName name="Луганська" localSheetId="16">#REF!</definedName>
    <definedName name="Луганська" localSheetId="13">#REF!</definedName>
    <definedName name="Луганська" localSheetId="17">#REF!</definedName>
    <definedName name="Луганська" localSheetId="18">#REF!</definedName>
    <definedName name="Луганська">#REF!</definedName>
    <definedName name="Львівська" localSheetId="16">#REF!,#REF!,#REF!</definedName>
    <definedName name="Львівська" localSheetId="13">#REF!,#REF!,#REF!</definedName>
    <definedName name="Львівська" localSheetId="17">#REF!,#REF!,#REF!</definedName>
    <definedName name="Львівська" localSheetId="18">#REF!,#REF!,#REF!</definedName>
    <definedName name="Львівська">#REF!,#REF!,#REF!</definedName>
    <definedName name="мак" localSheetId="13" hidden="1">{#N/A,#N/A,FALSE,"Лист4"}</definedName>
    <definedName name="мак" hidden="1">{#N/A,#N/A,FALSE,"Лист4"}</definedName>
    <definedName name="Миколаївська" localSheetId="16">#REF!</definedName>
    <definedName name="Миколаївська" localSheetId="13">#REF!</definedName>
    <definedName name="Миколаївська" localSheetId="17">#REF!</definedName>
    <definedName name="Миколаївська" localSheetId="18">#REF!</definedName>
    <definedName name="Миколаївська">#REF!</definedName>
    <definedName name="міська" localSheetId="16">#REF!</definedName>
    <definedName name="міська" localSheetId="13">#REF!</definedName>
    <definedName name="міська" localSheetId="17">#REF!</definedName>
    <definedName name="міська" localSheetId="18">#REF!</definedName>
    <definedName name="міська">#REF!</definedName>
    <definedName name="мм" localSheetId="13" hidden="1">{#N/A,#N/A,FALSE,"Лист4"}</definedName>
    <definedName name="мм" hidden="1">{#N/A,#N/A,FALSE,"Лист4"}</definedName>
    <definedName name="МнемокодСчета" localSheetId="16">#REF!</definedName>
    <definedName name="МнемокодСчета" localSheetId="13">#REF!</definedName>
    <definedName name="МнемокодСчета" localSheetId="17">#REF!</definedName>
    <definedName name="МнемокодСчета">#REF!</definedName>
    <definedName name="мпе" localSheetId="13" hidden="1">{#N/A,#N/A,FALSE,"Лист4"}</definedName>
    <definedName name="мпе" hidden="1">{#N/A,#N/A,FALSE,"Лист4"}</definedName>
    <definedName name="НаименованиеСчета" localSheetId="16">#REF!</definedName>
    <definedName name="НаименованиеСчета" localSheetId="13">#REF!</definedName>
    <definedName name="НаименованиеСчета" localSheetId="17">#REF!</definedName>
    <definedName name="НаименованиеСчета">#REF!</definedName>
    <definedName name="нгнгш" localSheetId="13" hidden="1">{#N/A,#N/A,FALSE,"Лист4"}</definedName>
    <definedName name="нгнгш" hidden="1">{#N/A,#N/A,FALSE,"Лист4"}</definedName>
    <definedName name="ннггг" localSheetId="13" hidden="1">{#N/A,#N/A,FALSE,"Лист4"}</definedName>
    <definedName name="ннггг" hidden="1">{#N/A,#N/A,FALSE,"Лист4"}</definedName>
    <definedName name="ннн" localSheetId="13" hidden="1">{#N/A,#N/A,FALSE,"Лист4"}</definedName>
    <definedName name="ннн" hidden="1">{#N/A,#N/A,FALSE,"Лист4"}</definedName>
    <definedName name="ннннг" localSheetId="13" hidden="1">{#N/A,#N/A,FALSE,"Лист4"}</definedName>
    <definedName name="ннннг" hidden="1">{#N/A,#N/A,FALSE,"Лист4"}</definedName>
    <definedName name="нннннннн" localSheetId="13" hidden="1">{#N/A,#N/A,FALSE,"Лист4"}</definedName>
    <definedName name="нннннннн" hidden="1">{#N/A,#N/A,FALSE,"Лист4"}</definedName>
    <definedName name="ннншенгке" localSheetId="13" hidden="1">{#N/A,#N/A,FALSE,"Лист4"}</definedName>
    <definedName name="ннншенгке" hidden="1">{#N/A,#N/A,FALSE,"Лист4"}</definedName>
    <definedName name="нншекк" localSheetId="13" hidden="1">{#N/A,#N/A,FALSE,"Лист4"}</definedName>
    <definedName name="нншекк" hidden="1">{#N/A,#N/A,FALSE,"Лист4"}</definedName>
    <definedName name="НомерСчета" localSheetId="16">#REF!</definedName>
    <definedName name="НомерСчета" localSheetId="13">#REF!</definedName>
    <definedName name="НомерСчета" localSheetId="17">#REF!</definedName>
    <definedName name="НомерСчета">#REF!</definedName>
    <definedName name="_xlnm.Print_Area" localSheetId="0">'!!! ФІНАНСОВИЙ ПЛАН 2023 !!!'!$B$1:$K$159</definedName>
    <definedName name="_xlnm.Print_Area" localSheetId="5">'2210'!$B$1:$P$86</definedName>
    <definedName name="_xlnm.Print_Area" localSheetId="6">'2220'!$B$1:$J$480</definedName>
    <definedName name="_xlnm.Print_Area" localSheetId="7">'2230'!$B$1:$G$53</definedName>
    <definedName name="_xlnm.Print_Area" localSheetId="8">'2240'!$B$3:$O$34</definedName>
    <definedName name="_xlnm.Print_Area" localSheetId="3">Видатки!$C$1:$AZ$100</definedName>
    <definedName name="_xlnm.Print_Area" localSheetId="1">Деталізація!$B$1:$BR$60</definedName>
    <definedName name="_xlnm.Print_Area" localSheetId="2">Доходи!$B$1:$H$34</definedName>
    <definedName name="_xlnm.Print_Area" localSheetId="16">Електроенергія!$B$1:$AC$32</definedName>
    <definedName name="_xlnm.Print_Area" localSheetId="15">Енергоносії!$B$1:$S$16</definedName>
    <definedName name="_xlnm.Print_Area" localSheetId="13">'ЗВ штат-розп'!$D$1:$Q$51</definedName>
    <definedName name="_xlnm.Print_Area" localSheetId="9">'Зведена Д-В'!$B$3:$G$23</definedName>
    <definedName name="_xlnm.Print_Area" localSheetId="17">'Інші енергоносії'!$B$1:$O$52</definedName>
    <definedName name="_xlnm.Print_Area" localSheetId="14">'НЧ - СД'!$A$1:$DN$90</definedName>
    <definedName name="_xlnm.Print_Area" localSheetId="19">'Програма МБ 2023 рік'!$A$1:$E$17</definedName>
    <definedName name="_xlnm.Print_Area" localSheetId="11">тарифікація!$B$1:$AB$448</definedName>
    <definedName name="_xlnm.Print_Area" localSheetId="18">'тріска паливна'!$A$1:$I$20</definedName>
    <definedName name="_xlnm.Print_Area" localSheetId="10">ФОП!$A$1:$S$104</definedName>
    <definedName name="_xlnm.Print_Area" localSheetId="12">'штат-розп'!$B$1:$R$224</definedName>
    <definedName name="ОборотВалПоДебету" localSheetId="16">#REF!</definedName>
    <definedName name="ОборотВалПоДебету" localSheetId="13">#REF!</definedName>
    <definedName name="ОборотВалПоДебету" localSheetId="17">#REF!</definedName>
    <definedName name="ОборотВалПоДебету">#REF!</definedName>
    <definedName name="ОборотВалПоКредиту" localSheetId="16">#REF!</definedName>
    <definedName name="ОборотВалПоКредиту" localSheetId="13">#REF!</definedName>
    <definedName name="ОборотВалПоКредиту" localSheetId="17">#REF!</definedName>
    <definedName name="ОборотВалПоКредиту">#REF!</definedName>
    <definedName name="ОборотПоДебету" localSheetId="16">#REF!</definedName>
    <definedName name="ОборотПоДебету" localSheetId="13">#REF!</definedName>
    <definedName name="ОборотПоДебету" localSheetId="17">#REF!</definedName>
    <definedName name="ОборотПоДебету">#REF!</definedName>
    <definedName name="ОборотПоКредиту" localSheetId="16">#REF!</definedName>
    <definedName name="ОборотПоКредиту" localSheetId="13">#REF!</definedName>
    <definedName name="ОборотПоКредиту" localSheetId="17">#REF!</definedName>
    <definedName name="ОборотПоКредиту">#REF!</definedName>
    <definedName name="оггне" localSheetId="13" hidden="1">{#N/A,#N/A,FALSE,"Лист4"}</definedName>
    <definedName name="оггне" hidden="1">{#N/A,#N/A,FALSE,"Лист4"}</definedName>
    <definedName name="Одеська" localSheetId="16">#REF!</definedName>
    <definedName name="Одеська" localSheetId="13">#REF!</definedName>
    <definedName name="Одеська" localSheetId="17">#REF!</definedName>
    <definedName name="Одеська" localSheetId="18">#REF!</definedName>
    <definedName name="Одеська">#REF!</definedName>
    <definedName name="оллд" localSheetId="13" hidden="1">{#N/A,#N/A,FALSE,"Лист4"}</definedName>
    <definedName name="оллд" hidden="1">{#N/A,#N/A,FALSE,"Лист4"}</definedName>
    <definedName name="олол" localSheetId="13" hidden="1">{#N/A,#N/A,FALSE,"Лист4"}</definedName>
    <definedName name="олол" hidden="1">{#N/A,#N/A,FALSE,"Лист4"}</definedName>
    <definedName name="оо" localSheetId="13" hidden="1">{#N/A,#N/A,FALSE,"Лист4"}</definedName>
    <definedName name="оо" hidden="1">{#N/A,#N/A,FALSE,"Лист4"}</definedName>
    <definedName name="ооо" localSheetId="13" hidden="1">{#N/A,#N/A,FALSE,"Лист4"}</definedName>
    <definedName name="ооо" hidden="1">{#N/A,#N/A,FALSE,"Лист4"}</definedName>
    <definedName name="Организация" localSheetId="16">#REF!</definedName>
    <definedName name="Организация" localSheetId="13">#REF!</definedName>
    <definedName name="Организация" localSheetId="17">#REF!</definedName>
    <definedName name="Организация">#REF!</definedName>
    <definedName name="орнг" localSheetId="13" hidden="1">{#N/A,#N/A,FALSE,"Лист4"}</definedName>
    <definedName name="орнг" hidden="1">{#N/A,#N/A,FALSE,"Лист4"}</definedName>
    <definedName name="освіта" localSheetId="13" hidden="1">{#N/A,#N/A,FALSE,"Лист4"}</definedName>
    <definedName name="освіта" hidden="1">{#N/A,#N/A,FALSE,"Лист4"}</definedName>
    <definedName name="ох" localSheetId="13" hidden="1">{#N/A,#N/A,FALSE,"Лист4"}</definedName>
    <definedName name="ох" hidden="1">{#N/A,#N/A,FALSE,"Лист4"}</definedName>
    <definedName name="охорона" localSheetId="13" hidden="1">{#N/A,#N/A,FALSE,"Лист4"}</definedName>
    <definedName name="охорона" hidden="1">{#N/A,#N/A,FALSE,"Лист4"}</definedName>
    <definedName name="п" localSheetId="3">'[12]7  Інші витрати'!#REF!</definedName>
    <definedName name="п" localSheetId="16">'[12]7  Інші витрати'!#REF!</definedName>
    <definedName name="п" localSheetId="17">'[12]7  Інші витрати'!#REF!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ериод" localSheetId="16">#REF!</definedName>
    <definedName name="Период" localSheetId="13">#REF!</definedName>
    <definedName name="Период" localSheetId="17">#REF!</definedName>
    <definedName name="Период">#REF!</definedName>
    <definedName name="План" localSheetId="3">#REF!</definedName>
    <definedName name="План" localSheetId="16">#REF!</definedName>
    <definedName name="План" localSheetId="17">#REF!</definedName>
    <definedName name="План">#REF!</definedName>
    <definedName name="плеккккг" localSheetId="13" hidden="1">{#N/A,#N/A,FALSE,"Лист4"}</definedName>
    <definedName name="плеккккг" hidden="1">{#N/A,#N/A,FALSE,"Лист4"}</definedName>
    <definedName name="пллеелш" localSheetId="13" hidden="1">{#N/A,#N/A,FALSE,"Лист4"}</definedName>
    <definedName name="пллеелш" hidden="1">{#N/A,#N/A,FALSE,"Лист4"}</definedName>
    <definedName name="Полтавська" localSheetId="16">#REF!,#REF!,#REF!</definedName>
    <definedName name="Полтавська" localSheetId="13">#REF!,#REF!,#REF!</definedName>
    <definedName name="Полтавська" localSheetId="17">#REF!,#REF!,#REF!</definedName>
    <definedName name="Полтавська" localSheetId="18">#REF!,#REF!,#REF!</definedName>
    <definedName name="Полтавська">#REF!,#REF!,#REF!</definedName>
    <definedName name="попле" localSheetId="13" hidden="1">{#N/A,#N/A,FALSE,"Лист4"}</definedName>
    <definedName name="попле" hidden="1">{#N/A,#N/A,FALSE,"Лист4"}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3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6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7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" localSheetId="13" hidden="1">{#N/A,#N/A,FALSE,"Лист4"}</definedName>
    <definedName name="пот" hidden="1">{#N/A,#N/A,FALSE,"Лист4"}</definedName>
    <definedName name="пп" localSheetId="13" hidden="1">{#N/A,#N/A,FALSE,"Лист4"}</definedName>
    <definedName name="пп" hidden="1">{#N/A,#N/A,FALSE,"Лист4"}</definedName>
    <definedName name="ппп">[31]Inform!$E$6</definedName>
    <definedName name="ппше" localSheetId="13" hidden="1">{#N/A,#N/A,FALSE,"Лист4"}</definedName>
    <definedName name="ппше" hidden="1">{#N/A,#N/A,FALSE,"Лист4"}</definedName>
    <definedName name="про" localSheetId="13" hidden="1">{#N/A,#N/A,FALSE,"Лист4"}</definedName>
    <definedName name="про" hidden="1">{#N/A,#N/A,FALSE,"Лист4"}</definedName>
    <definedName name="прое" localSheetId="13" hidden="1">{#N/A,#N/A,FALSE,"Лист4"}</definedName>
    <definedName name="прое" hidden="1">{#N/A,#N/A,FALSE,"Лист4"}</definedName>
    <definedName name="прои" localSheetId="13" hidden="1">{#N/A,#N/A,FALSE,"Лист4"}</definedName>
    <definedName name="прои" hidden="1">{#N/A,#N/A,FALSE,"Лист4"}</definedName>
    <definedName name="р" localSheetId="3">#REF!</definedName>
    <definedName name="р" localSheetId="16">#REF!</definedName>
    <definedName name="р" localSheetId="17">#REF!</definedName>
    <definedName name="р">#REF!</definedName>
    <definedName name="Рівненська" localSheetId="16">#REF!</definedName>
    <definedName name="Рівненська" localSheetId="13">#REF!</definedName>
    <definedName name="Рівненська" localSheetId="17">#REF!</definedName>
    <definedName name="Рівненська" localSheetId="18">#REF!</definedName>
    <definedName name="Рівненська">#REF!</definedName>
    <definedName name="рор" localSheetId="13" hidden="1">{#N/A,#N/A,FALSE,"Лист4"}</definedName>
    <definedName name="рор" hidden="1">{#N/A,#N/A,FALSE,"Лист4"}</definedName>
    <definedName name="роро" localSheetId="13" hidden="1">{#N/A,#N/A,FALSE,"Лист4"}</definedName>
    <definedName name="роро" hidden="1">{#N/A,#N/A,FALSE,"Лист4"}</definedName>
    <definedName name="рррр" localSheetId="13" hidden="1">{#N/A,#N/A,FALSE,"Лист4"}</definedName>
    <definedName name="рррр" hidden="1">{#N/A,#N/A,FALSE,"Лист4"}</definedName>
    <definedName name="Севастопольська" localSheetId="16">#REF!</definedName>
    <definedName name="Севастопольська" localSheetId="13">#REF!</definedName>
    <definedName name="Севастопольська" localSheetId="17">#REF!</definedName>
    <definedName name="Севастопольська" localSheetId="18">#REF!</definedName>
    <definedName name="Севастопольська">#REF!</definedName>
    <definedName name="Симферопольська" localSheetId="16">#REF!,#REF!,#REF!</definedName>
    <definedName name="Симферопольська" localSheetId="13">#REF!,#REF!,#REF!</definedName>
    <definedName name="Симферопольська" localSheetId="17">#REF!,#REF!,#REF!</definedName>
    <definedName name="Симферопольська" localSheetId="18">#REF!,#REF!,#REF!</definedName>
    <definedName name="Симферопольська">#REF!,#REF!,#REF!</definedName>
    <definedName name="сімейний" localSheetId="16">Доходи!#REF!</definedName>
    <definedName name="сімейний" localSheetId="17">Доходи!#REF!</definedName>
    <definedName name="сімейний">Доходи!#REF!</definedName>
    <definedName name="сми" localSheetId="13" hidden="1">{#N/A,#N/A,FALSE,"Лист4"}</definedName>
    <definedName name="сми" hidden="1">{#N/A,#N/A,FALSE,"Лист4"}</definedName>
    <definedName name="сс" localSheetId="13" hidden="1">{#N/A,#N/A,FALSE,"Лист4"}</definedName>
    <definedName name="сс" hidden="1">{#N/A,#N/A,FALSE,"Лист4"}</definedName>
    <definedName name="сум" localSheetId="13" hidden="1">{#N/A,#N/A,FALSE,"Лист4"}</definedName>
    <definedName name="сум" hidden="1">{#N/A,#N/A,FALSE,"Лист4"}</definedName>
    <definedName name="Суми" localSheetId="13" hidden="1">{#N/A,#N/A,FALSE,"Лист4"}</definedName>
    <definedName name="Суми" hidden="1">{#N/A,#N/A,FALSE,"Лист4"}</definedName>
    <definedName name="Сумма" localSheetId="16">#REF!</definedName>
    <definedName name="Сумма" localSheetId="13">#REF!</definedName>
    <definedName name="Сумма" localSheetId="17">#REF!</definedName>
    <definedName name="Сумма" localSheetId="18">#REF!</definedName>
    <definedName name="Сумма">#REF!</definedName>
    <definedName name="Сумська" localSheetId="16">#REF!</definedName>
    <definedName name="Сумська" localSheetId="13">#REF!</definedName>
    <definedName name="Сумська" localSheetId="17">#REF!</definedName>
    <definedName name="Сумська" localSheetId="18">#REF!</definedName>
    <definedName name="Сумська">#REF!</definedName>
    <definedName name="счу" localSheetId="13" hidden="1">{#N/A,#N/A,FALSE,"Лист4"}</definedName>
    <definedName name="счу" hidden="1">{#N/A,#N/A,FALSE,"Лист4"}</definedName>
    <definedName name="счя" localSheetId="13" hidden="1">{#N/A,#N/A,FALSE,"Лист4"}</definedName>
    <definedName name="счя" hidden="1">{#N/A,#N/A,FALSE,"Лист4"}</definedName>
    <definedName name="т">[32]Inform!$E$6</definedName>
    <definedName name="тариф">[33]Inform!$G$2</definedName>
    <definedName name="Тернопільська" localSheetId="16">#REF!</definedName>
    <definedName name="Тернопільська" localSheetId="13">#REF!</definedName>
    <definedName name="Тернопільська" localSheetId="17">#REF!</definedName>
    <definedName name="Тернопільська" localSheetId="18">#REF!</definedName>
    <definedName name="Тернопільська">#REF!</definedName>
    <definedName name="тогн" localSheetId="13" hidden="1">{#N/A,#N/A,FALSE,"Лист4"}</definedName>
    <definedName name="тогн" hidden="1">{#N/A,#N/A,FALSE,"Лист4"}</definedName>
    <definedName name="трн" localSheetId="13" hidden="1">{#N/A,#N/A,FALSE,"Лист4"}</definedName>
    <definedName name="трн" hidden="1">{#N/A,#N/A,FALSE,"Лист4"}</definedName>
    <definedName name="ттт" localSheetId="13" hidden="1">{#N/A,#N/A,FALSE,"Лист4"}</definedName>
    <definedName name="ттт" hidden="1">{#N/A,#N/A,FALSE,"Лист4"}</definedName>
    <definedName name="ть" localSheetId="13" hidden="1">{#N/A,#N/A,FALSE,"Лист4"}</definedName>
    <definedName name="ть" hidden="1">{#N/A,#N/A,FALSE,"Лист4"}</definedName>
    <definedName name="уа" localSheetId="13" hidden="1">{#N/A,#N/A,FALSE,"Лист4"}</definedName>
    <definedName name="уа" hidden="1">{#N/A,#N/A,FALSE,"Лист4"}</definedName>
    <definedName name="увке" localSheetId="13" hidden="1">{#N/A,#N/A,FALSE,"Лист4"}</definedName>
    <definedName name="увке" hidden="1">{#N/A,#N/A,FALSE,"Лист4"}</definedName>
    <definedName name="уеунукнун" localSheetId="13" hidden="1">{#N/A,#N/A,FALSE,"Лист4"}</definedName>
    <definedName name="уеунукнун" hidden="1">{#N/A,#N/A,FALSE,"Лист4"}</definedName>
    <definedName name="уйцукйцуйу" localSheetId="3">#REF!</definedName>
    <definedName name="уйцукйцуйу" localSheetId="16">#REF!</definedName>
    <definedName name="уйцукйцуйу" localSheetId="17">#REF!</definedName>
    <definedName name="уйцукйцуйу">#REF!</definedName>
    <definedName name="уке" localSheetId="13" hidden="1">{#N/A,#N/A,FALSE,"Лист4"}</definedName>
    <definedName name="уке" localSheetId="11" hidden="1">{#N/A,#N/A,FALSE,"Лист4"}</definedName>
    <definedName name="уке">[34]Inform!$G$2</definedName>
    <definedName name="укй" localSheetId="13" hidden="1">{#N/A,#N/A,FALSE,"Лист4"}</definedName>
    <definedName name="укй" hidden="1">{#N/A,#N/A,FALSE,"Лист4"}</definedName>
    <definedName name="укунн" localSheetId="13" hidden="1">{#N/A,#N/A,FALSE,"Лист4"}</definedName>
    <definedName name="укунн" hidden="1">{#N/A,#N/A,FALSE,"Лист4"}</definedName>
    <definedName name="унунен" localSheetId="13" hidden="1">{#N/A,#N/A,FALSE,"Лист4"}</definedName>
    <definedName name="унунен" hidden="1">{#N/A,#N/A,FALSE,"Лист4"}</definedName>
    <definedName name="унунун" localSheetId="13" hidden="1">{#N/A,#N/A,FALSE,"Лист4"}</definedName>
    <definedName name="унунун" hidden="1">{#N/A,#N/A,FALSE,"Лист4"}</definedName>
    <definedName name="унуу" localSheetId="13" hidden="1">{#N/A,#N/A,FALSE,"Лист4"}</definedName>
    <definedName name="унуу" hidden="1">{#N/A,#N/A,FALSE,"Лист4"}</definedName>
    <definedName name="унуун" localSheetId="13" hidden="1">{#N/A,#N/A,FALSE,"Лист4"}</definedName>
    <definedName name="унуун" hidden="1">{#N/A,#N/A,FALSE,"Лист4"}</definedName>
    <definedName name="унууу" localSheetId="13" hidden="1">{#N/A,#N/A,FALSE,"Лист4"}</definedName>
    <definedName name="унууу" hidden="1">{#N/A,#N/A,FALSE,"Лист4"}</definedName>
    <definedName name="управ" localSheetId="13" hidden="1">{#N/A,#N/A,FALSE,"Лист4"}</definedName>
    <definedName name="управ" hidden="1">{#N/A,#N/A,FALSE,"Лист4"}</definedName>
    <definedName name="управління" localSheetId="13" hidden="1">{#N/A,#N/A,FALSE,"Лист4"}</definedName>
    <definedName name="управління" hidden="1">{#N/A,#N/A,FALSE,"Лист4"}</definedName>
    <definedName name="УТГ">'[14]МТР Газ України'!$B$4</definedName>
    <definedName name="Утел" localSheetId="16">#REF!</definedName>
    <definedName name="Утел" localSheetId="13">#REF!</definedName>
    <definedName name="Утел" localSheetId="17">#REF!</definedName>
    <definedName name="Утел" localSheetId="18">#REF!</definedName>
    <definedName name="Утел">#REF!</definedName>
    <definedName name="уукее" localSheetId="13" hidden="1">{#N/A,#N/A,FALSE,"Лист4"}</definedName>
    <definedName name="уукее" hidden="1">{#N/A,#N/A,FALSE,"Лист4"}</definedName>
    <definedName name="ууннну" localSheetId="13" hidden="1">{#N/A,#N/A,FALSE,"Лист4"}</definedName>
    <definedName name="ууннну" hidden="1">{#N/A,#N/A,FALSE,"Лист4"}</definedName>
    <definedName name="ууну" localSheetId="13" hidden="1">{#N/A,#N/A,FALSE,"Лист4"}</definedName>
    <definedName name="ууну" hidden="1">{#N/A,#N/A,FALSE,"Лист4"}</definedName>
    <definedName name="уунунг" localSheetId="13" hidden="1">{#N/A,#N/A,FALSE,"Лист4"}</definedName>
    <definedName name="уунунг" hidden="1">{#N/A,#N/A,FALSE,"Лист4"}</definedName>
    <definedName name="уунунууу" localSheetId="13" hidden="1">{#N/A,#N/A,FALSE,"Лист4"}</definedName>
    <definedName name="уунунууу" hidden="1">{#N/A,#N/A,FALSE,"Лист4"}</definedName>
    <definedName name="уунуурр" localSheetId="13" hidden="1">{#N/A,#N/A,FALSE,"Лист4"}</definedName>
    <definedName name="уунуурр" hidden="1">{#N/A,#N/A,FALSE,"Лист4"}</definedName>
    <definedName name="уунуууу" localSheetId="13" hidden="1">{#N/A,#N/A,FALSE,"Лист4"}</definedName>
    <definedName name="уунуууу" hidden="1">{#N/A,#N/A,FALSE,"Лист4"}</definedName>
    <definedName name="ууу" localSheetId="13" hidden="1">{#N/A,#N/A,FALSE,"Лист4"}</definedName>
    <definedName name="ууу" hidden="1">{#N/A,#N/A,FALSE,"Лист4"}</definedName>
    <definedName name="ууунну" localSheetId="13" hidden="1">{#N/A,#N/A,FALSE,"Лист4"}</definedName>
    <definedName name="ууунну" hidden="1">{#N/A,#N/A,FALSE,"Лист4"}</definedName>
    <definedName name="ууунууууу" localSheetId="13" hidden="1">{#N/A,#N/A,FALSE,"Лист4"}</definedName>
    <definedName name="ууунууууу" hidden="1">{#N/A,#N/A,FALSE,"Лист4"}</definedName>
    <definedName name="уууу" localSheetId="13" hidden="1">{#N/A,#N/A,FALSE,"Лист4"}</definedName>
    <definedName name="уууу" hidden="1">{#N/A,#N/A,FALSE,"Лист4"}</definedName>
    <definedName name="уууу32" localSheetId="13" hidden="1">{#N/A,#N/A,FALSE,"Лист4"}</definedName>
    <definedName name="уууу32" hidden="1">{#N/A,#N/A,FALSE,"Лист4"}</definedName>
    <definedName name="уууун" localSheetId="13" hidden="1">{#N/A,#N/A,FALSE,"Лист4"}</definedName>
    <definedName name="уууун" hidden="1">{#N/A,#N/A,FALSE,"Лист4"}</definedName>
    <definedName name="фів">'[23]МТР Газ України'!$B$4</definedName>
    <definedName name="фіваіф" localSheetId="3">'[30]7  Інші витрати'!#REF!</definedName>
    <definedName name="фіваіф" localSheetId="16">'[30]7  Інші витрати'!#REF!</definedName>
    <definedName name="фіваіф" localSheetId="17">'[30]7  Інші витрати'!#REF!</definedName>
    <definedName name="фіваіф">'[30]7  Інші витрати'!#REF!</definedName>
    <definedName name="фф" localSheetId="13" hidden="1">{#N/A,#N/A,FALSE,"Лист4"}</definedName>
    <definedName name="фф" localSheetId="11" hidden="1">{#N/A,#N/A,FALSE,"Лист4"}</definedName>
    <definedName name="фф">'[26]МТР Газ України'!$F$1</definedName>
    <definedName name="ффф" localSheetId="13" hidden="1">{#N/A,#N/A,FALSE,"Лист4"}</definedName>
    <definedName name="ффф" hidden="1">{#N/A,#N/A,FALSE,"Лист4"}</definedName>
    <definedName name="фффф" localSheetId="13" hidden="1">{#N/A,#N/A,FALSE,"Лист4"}</definedName>
    <definedName name="фффф" hidden="1">{#N/A,#N/A,FALSE,"Лист4"}</definedName>
    <definedName name="ффффф" localSheetId="13" hidden="1">{#N/A,#N/A,FALSE,"Лист4"}</definedName>
    <definedName name="ффффф" hidden="1">{#N/A,#N/A,FALSE,"Лист4"}</definedName>
    <definedName name="Харківська" localSheetId="16">#REF!</definedName>
    <definedName name="Харківська" localSheetId="13">#REF!</definedName>
    <definedName name="Харківська" localSheetId="17">#REF!</definedName>
    <definedName name="Харківська" localSheetId="18">#REF!</definedName>
    <definedName name="Харківська">#REF!</definedName>
    <definedName name="Херсонська" localSheetId="16">#REF!</definedName>
    <definedName name="Херсонська" localSheetId="13">#REF!</definedName>
    <definedName name="Херсонська" localSheetId="17">#REF!</definedName>
    <definedName name="Херсонська" localSheetId="18">#REF!</definedName>
    <definedName name="Херсонська">#REF!</definedName>
    <definedName name="Херсьнська" localSheetId="16">#REF!</definedName>
    <definedName name="Херсьнська" localSheetId="13">#REF!</definedName>
    <definedName name="Херсьнська" localSheetId="17">#REF!</definedName>
    <definedName name="Херсьнська" localSheetId="18">#REF!</definedName>
    <definedName name="Херсьнська">#REF!</definedName>
    <definedName name="хз" localSheetId="13" hidden="1">{#N/A,#N/A,FALSE,"Лист4"}</definedName>
    <definedName name="хз" hidden="1">{#N/A,#N/A,FALSE,"Лист4"}</definedName>
    <definedName name="хїз" localSheetId="13" hidden="1">{#N/A,#N/A,FALSE,"Лист4"}</definedName>
    <definedName name="хїз" hidden="1">{#N/A,#N/A,FALSE,"Лист4"}</definedName>
    <definedName name="Хмельницька" localSheetId="16">#REF!</definedName>
    <definedName name="Хмельницька" localSheetId="13">#REF!</definedName>
    <definedName name="Хмельницька" localSheetId="17">#REF!</definedName>
    <definedName name="Хмельницька" localSheetId="18">#REF!</definedName>
    <definedName name="Хмельницька">#REF!</definedName>
    <definedName name="ххх" localSheetId="13" hidden="1">{#N/A,#N/A,FALSE,"Лист4"}</definedName>
    <definedName name="ххх" hidden="1">{#N/A,#N/A,FALSE,"Лист4"}</definedName>
    <definedName name="ц" localSheetId="3">'[12]7  Інші витрати'!#REF!</definedName>
    <definedName name="ц" localSheetId="16">'[12]7  Інші витрати'!#REF!</definedName>
    <definedName name="ц" localSheetId="13" hidden="1">{#N/A,#N/A,FALSE,"Лист4"}</definedName>
    <definedName name="ц" localSheetId="17">'[12]7  Інші витрати'!#REF!</definedName>
    <definedName name="ц" localSheetId="11" hidden="1">{#N/A,#N/A,FALSE,"Лист4"}</definedName>
    <definedName name="ц">'[12]7  Інші витрати'!#REF!</definedName>
    <definedName name="цва" localSheetId="13" hidden="1">{#N/A,#N/A,FALSE,"Лист4"}</definedName>
    <definedName name="цва" hidden="1">{#N/A,#N/A,FALSE,"Лист4"}</definedName>
    <definedName name="цекццецце" localSheetId="13" hidden="1">{#N/A,#N/A,FALSE,"Лист4"}</definedName>
    <definedName name="цекццецце" hidden="1">{#N/A,#N/A,FALSE,"Лист4"}</definedName>
    <definedName name="цеце" localSheetId="13" hidden="1">{#N/A,#N/A,FALSE,"Лист4"}</definedName>
    <definedName name="цеце" hidden="1">{#N/A,#N/A,FALSE,"Лист4"}</definedName>
    <definedName name="цецеце" localSheetId="13" hidden="1">{#N/A,#N/A,FALSE,"Лист4"}</definedName>
    <definedName name="цецеце" hidden="1">{#N/A,#N/A,FALSE,"Лист4"}</definedName>
    <definedName name="ЦММТТС" localSheetId="16">#REF!</definedName>
    <definedName name="ЦММТТС" localSheetId="13">#REF!</definedName>
    <definedName name="ЦММТТС" localSheetId="17">#REF!</definedName>
    <definedName name="ЦММТТС" localSheetId="18">#REF!</definedName>
    <definedName name="ЦММТТС">#REF!</definedName>
    <definedName name="цук" localSheetId="13" hidden="1">{#N/A,#N/A,FALSE,"Лист4"}</definedName>
    <definedName name="цук" hidden="1">{#N/A,#N/A,FALSE,"Лист4"}</definedName>
    <definedName name="цуку" localSheetId="13" hidden="1">{#N/A,#N/A,FALSE,"Лист4"}</definedName>
    <definedName name="цуку" hidden="1">{#N/A,#N/A,FALSE,"Лист4"}</definedName>
    <definedName name="цууу" localSheetId="13" hidden="1">{#N/A,#N/A,FALSE,"Лист4"}</definedName>
    <definedName name="цууу" hidden="1">{#N/A,#N/A,FALSE,"Лист4"}</definedName>
    <definedName name="цц" localSheetId="13" hidden="1">{#N/A,#N/A,FALSE,"Лист4"}</definedName>
    <definedName name="цц" hidden="1">{#N/A,#N/A,FALSE,"Лист4"}</definedName>
    <definedName name="ццвва" localSheetId="13" hidden="1">{#N/A,#N/A,FALSE,"Лист4"}</definedName>
    <definedName name="ццвва" hidden="1">{#N/A,#N/A,FALSE,"Лист4"}</definedName>
    <definedName name="ццецц" localSheetId="13" hidden="1">{#N/A,#N/A,FALSE,"Лист4"}</definedName>
    <definedName name="ццецц" hidden="1">{#N/A,#N/A,FALSE,"Лист4"}</definedName>
    <definedName name="ццеццке" localSheetId="13" hidden="1">{#N/A,#N/A,FALSE,"Лист4"}</definedName>
    <definedName name="ццеццке" hidden="1">{#N/A,#N/A,FALSE,"Лист4"}</definedName>
    <definedName name="ццеццкевап" localSheetId="13" hidden="1">{#N/A,#N/A,FALSE,"Лист4"}</definedName>
    <definedName name="ццеццкевап" hidden="1">{#N/A,#N/A,FALSE,"Лист4"}</definedName>
    <definedName name="ццке" localSheetId="13" hidden="1">{#N/A,#N/A,FALSE,"Лист4"}</definedName>
    <definedName name="ццке" hidden="1">{#N/A,#N/A,FALSE,"Лист4"}</definedName>
    <definedName name="ццук" localSheetId="13" hidden="1">{#N/A,#N/A,FALSE,"Лист4"}</definedName>
    <definedName name="ццук" hidden="1">{#N/A,#N/A,FALSE,"Лист4"}</definedName>
    <definedName name="цццецц" localSheetId="13" hidden="1">{#N/A,#N/A,FALSE,"Лист4"}</definedName>
    <definedName name="цццецц" hidden="1">{#N/A,#N/A,FALSE,"Лист4"}</definedName>
    <definedName name="цццкеец" localSheetId="13" hidden="1">{#N/A,#N/A,FALSE,"Лист4"}</definedName>
    <definedName name="цццкеец" hidden="1">{#N/A,#N/A,FALSE,"Лист4"}</definedName>
    <definedName name="цццц" localSheetId="13" hidden="1">{#N/A,#N/A,FALSE,"Лист4"}</definedName>
    <definedName name="цццц" hidden="1">{#N/A,#N/A,FALSE,"Лист4"}</definedName>
    <definedName name="ццццкц" localSheetId="13" hidden="1">{#N/A,#N/A,FALSE,"Лист4"}</definedName>
    <definedName name="ццццкц" hidden="1">{#N/A,#N/A,FALSE,"Лист4"}</definedName>
    <definedName name="ццццц" localSheetId="13" hidden="1">{#N/A,#N/A,FALSE,"Лист4"}</definedName>
    <definedName name="ццццц" hidden="1">{#N/A,#N/A,FALSE,"Лист4"}</definedName>
    <definedName name="цццццц" localSheetId="13" hidden="1">{#N/A,#N/A,FALSE,"Лист4"}</definedName>
    <definedName name="цццццц" hidden="1">{#N/A,#N/A,FALSE,"Лист4"}</definedName>
    <definedName name="чву" localSheetId="13" hidden="1">{#N/A,#N/A,FALSE,"Лист4"}</definedName>
    <definedName name="чву" hidden="1">{#N/A,#N/A,FALSE,"Лист4"}</definedName>
    <definedName name="Черкаська" localSheetId="16">#REF!,#REF!,#REF!</definedName>
    <definedName name="Черкаська" localSheetId="13">#REF!,#REF!,#REF!</definedName>
    <definedName name="Черкаська" localSheetId="17">#REF!,#REF!,#REF!</definedName>
    <definedName name="Черкаська" localSheetId="18">#REF!,#REF!,#REF!</definedName>
    <definedName name="Черкаська">#REF!,#REF!,#REF!</definedName>
    <definedName name="Чернівецька" localSheetId="16">#REF!</definedName>
    <definedName name="Чернівецька" localSheetId="13">#REF!</definedName>
    <definedName name="Чернівецька" localSheetId="17">#REF!</definedName>
    <definedName name="Чернівецька" localSheetId="18">#REF!</definedName>
    <definedName name="Чернівецька">#REF!</definedName>
    <definedName name="Чернігівська" localSheetId="16">#REF!</definedName>
    <definedName name="Чернігівська" localSheetId="13">#REF!</definedName>
    <definedName name="Чернігівська" localSheetId="17">#REF!</definedName>
    <definedName name="Чернігівська" localSheetId="18">#REF!</definedName>
    <definedName name="Чернігівська">#REF!</definedName>
    <definedName name="чч" localSheetId="13" hidden="1">{#N/A,#N/A,FALSE,"Лист4"}</definedName>
    <definedName name="чч" hidden="1">{#N/A,#N/A,FALSE,"Лист4"}</definedName>
    <definedName name="ччч" localSheetId="3">'[35]БАЗА  '!#REF!</definedName>
    <definedName name="ччч" localSheetId="16">'[35]БАЗА  '!#REF!</definedName>
    <definedName name="ччч" localSheetId="13" hidden="1">{#N/A,#N/A,FALSE,"Лист4"}</definedName>
    <definedName name="ччч" localSheetId="17">'[35]БАЗА  '!#REF!</definedName>
    <definedName name="ччч" localSheetId="11" hidden="1">{#N/A,#N/A,FALSE,"Лист4"}</definedName>
    <definedName name="ччч">'[35]БАЗА  '!#REF!</definedName>
    <definedName name="ш" localSheetId="3">#REF!</definedName>
    <definedName name="ш" localSheetId="16">#REF!</definedName>
    <definedName name="ш" localSheetId="17">#REF!</definedName>
    <definedName name="ш">#REF!</definedName>
    <definedName name="шш" localSheetId="13" hidden="1">{#N/A,#N/A,FALSE,"Лист4"}</definedName>
    <definedName name="шш" hidden="1">{#N/A,#N/A,FALSE,"Лист4"}</definedName>
    <definedName name="шшшш" localSheetId="13" hidden="1">{#N/A,#N/A,FALSE,"Лист4"}</definedName>
    <definedName name="шшшш" hidden="1">{#N/A,#N/A,FALSE,"Лист4"}</definedName>
    <definedName name="щщ" localSheetId="13" hidden="1">{#N/A,#N/A,FALSE,"Лист4"}</definedName>
    <definedName name="щщ" hidden="1">{#N/A,#N/A,FALSE,"Лист4"}</definedName>
    <definedName name="щщщ" localSheetId="13" hidden="1">{#N/A,#N/A,FALSE,"Лист4"}</definedName>
    <definedName name="щщщ" hidden="1">{#N/A,#N/A,FALSE,"Лист4"}</definedName>
    <definedName name="щщщшг" localSheetId="13" hidden="1">{#N/A,#N/A,FALSE,"Лист4"}</definedName>
    <definedName name="щщщшг" hidden="1">{#N/A,#N/A,FALSE,"Лист4"}</definedName>
    <definedName name="юю" localSheetId="13" hidden="1">{#N/A,#N/A,FALSE,"Лист4"}</definedName>
    <definedName name="юю" hidden="1">{#N/A,#N/A,FALSE,"Лист4"}</definedName>
    <definedName name="ююю" localSheetId="13" hidden="1">{#N/A,#N/A,FALSE,"Лист4"}</definedName>
    <definedName name="ююю" hidden="1">{#N/A,#N/A,FALSE,"Лист4"}</definedName>
    <definedName name="яяя" localSheetId="13" hidden="1">{#N/A,#N/A,FALSE,"Лист4"}</definedName>
    <definedName name="яяя" hidden="1">{#N/A,#N/A,FALSE,"Лист4"}</definedName>
    <definedName name="яяяя" localSheetId="13" hidden="1">{#N/A,#N/A,FALSE,"Лист4"}</definedName>
    <definedName name="яяяя" hidden="1">{#N/A,#N/A,FALSE,"Лист4"}</definedName>
  </definedNames>
  <calcPr calcId="114210" fullCalcOnLoad="1"/>
</workbook>
</file>

<file path=xl/calcChain.xml><?xml version="1.0" encoding="utf-8"?>
<calcChain xmlns="http://schemas.openxmlformats.org/spreadsheetml/2006/main">
  <c r="Q25" i="38"/>
  <c r="Q24"/>
  <c r="I4" i="4"/>
  <c r="H29" i="38"/>
  <c r="E33"/>
  <c r="F33"/>
  <c r="G33"/>
  <c r="H33"/>
  <c r="I33"/>
  <c r="J33"/>
  <c r="K33"/>
  <c r="L33"/>
  <c r="M33"/>
  <c r="N33"/>
  <c r="D33"/>
  <c r="C33"/>
  <c r="E29"/>
  <c r="F15" i="4"/>
  <c r="N29" i="38"/>
  <c r="L29"/>
  <c r="E30" i="35"/>
  <c r="E49"/>
  <c r="E25"/>
  <c r="H20"/>
  <c r="H47"/>
  <c r="T74" i="20"/>
  <c r="T71"/>
  <c r="M23" i="38"/>
  <c r="H18"/>
  <c r="E26" i="35"/>
  <c r="H26"/>
  <c r="AT425" i="21"/>
  <c r="AU425"/>
  <c r="AV425"/>
  <c r="AT426"/>
  <c r="AT429"/>
  <c r="AU426"/>
  <c r="AV426"/>
  <c r="AT427"/>
  <c r="AU427"/>
  <c r="AV427"/>
  <c r="AT428"/>
  <c r="AU428"/>
  <c r="AU433"/>
  <c r="AV428"/>
  <c r="AU429"/>
  <c r="AV429"/>
  <c r="AV433"/>
  <c r="AT430"/>
  <c r="AU430"/>
  <c r="AV430"/>
  <c r="AT431"/>
  <c r="AU431"/>
  <c r="AV431"/>
  <c r="AT432"/>
  <c r="AU432"/>
  <c r="AV432"/>
  <c r="AU48"/>
  <c r="AU50"/>
  <c r="AU52"/>
  <c r="I47"/>
  <c r="AT433"/>
  <c r="AV51" i="23"/>
  <c r="AK19"/>
  <c r="AL19"/>
  <c r="AM19"/>
  <c r="AN19"/>
  <c r="AO19"/>
  <c r="AP19"/>
  <c r="AQ19"/>
  <c r="AR19"/>
  <c r="AS19"/>
  <c r="AT19"/>
  <c r="AU19"/>
  <c r="AV19"/>
  <c r="AK13"/>
  <c r="AL13"/>
  <c r="AM13"/>
  <c r="AN13"/>
  <c r="AO13"/>
  <c r="AP13"/>
  <c r="AQ13"/>
  <c r="AR13"/>
  <c r="AS13"/>
  <c r="AT13"/>
  <c r="AU13"/>
  <c r="AV13"/>
  <c r="AM11"/>
  <c r="AN11"/>
  <c r="AO11"/>
  <c r="AP11"/>
  <c r="AQ11"/>
  <c r="AR11"/>
  <c r="AS11"/>
  <c r="AT11"/>
  <c r="AU11"/>
  <c r="AV11"/>
  <c r="AL11"/>
  <c r="AK11"/>
  <c r="BA2"/>
  <c r="D5" i="37"/>
  <c r="C141" i="13"/>
  <c r="D86" i="37"/>
  <c r="P83"/>
  <c r="P85"/>
  <c r="P81"/>
  <c r="E90" i="17"/>
  <c r="F87"/>
  <c r="E87"/>
  <c r="E86"/>
  <c r="C130" i="13"/>
  <c r="C143"/>
  <c r="D7" i="39"/>
  <c r="E10"/>
  <c r="J6"/>
  <c r="F8"/>
  <c r="W56" i="23"/>
  <c r="Y56"/>
  <c r="AB56"/>
  <c r="AC56"/>
  <c r="AD56"/>
  <c r="AE56"/>
  <c r="G11" i="39"/>
  <c r="T57" i="23"/>
  <c r="U57"/>
  <c r="V57"/>
  <c r="W57"/>
  <c r="X57"/>
  <c r="Y57"/>
  <c r="Z57"/>
  <c r="AA57"/>
  <c r="AB57"/>
  <c r="AC57"/>
  <c r="AD57"/>
  <c r="AE57"/>
  <c r="H204" i="36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03"/>
  <c r="H37" i="4"/>
  <c r="D27"/>
  <c r="E86" i="37"/>
  <c r="U19" i="23"/>
  <c r="T19"/>
  <c r="D88" i="37"/>
  <c r="D87"/>
  <c r="F86"/>
  <c r="V19" i="23"/>
  <c r="J462" i="36"/>
  <c r="J463"/>
  <c r="B462"/>
  <c r="J461"/>
  <c r="J450"/>
  <c r="J449"/>
  <c r="J448"/>
  <c r="B448"/>
  <c r="B449"/>
  <c r="B450"/>
  <c r="J447"/>
  <c r="G86" i="37"/>
  <c r="W19" i="23"/>
  <c r="J451" i="36"/>
  <c r="J477"/>
  <c r="J275"/>
  <c r="H86" i="37"/>
  <c r="X19" i="23"/>
  <c r="P14" i="39"/>
  <c r="P11"/>
  <c r="P10"/>
  <c r="P9"/>
  <c r="P8"/>
  <c r="P6"/>
  <c r="P5"/>
  <c r="O4"/>
  <c r="N4"/>
  <c r="M4"/>
  <c r="L4"/>
  <c r="J4"/>
  <c r="Z56" i="23"/>
  <c r="I4" i="39"/>
  <c r="H4"/>
  <c r="X56" i="23"/>
  <c r="G4" i="39"/>
  <c r="F4"/>
  <c r="V56" i="23"/>
  <c r="E4" i="39"/>
  <c r="U56" i="23"/>
  <c r="D4" i="39"/>
  <c r="T56" i="23"/>
  <c r="D18" i="4"/>
  <c r="F14"/>
  <c r="F13"/>
  <c r="F9"/>
  <c r="F7"/>
  <c r="F6"/>
  <c r="F5"/>
  <c r="D7"/>
  <c r="J278" i="36"/>
  <c r="J277"/>
  <c r="J276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317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289"/>
  <c r="J264"/>
  <c r="J263"/>
  <c r="I86" i="37"/>
  <c r="Y19" i="23"/>
  <c r="J280" i="36"/>
  <c r="J471"/>
  <c r="K4" i="39"/>
  <c r="AA56" i="23"/>
  <c r="P7" i="39"/>
  <c r="P4"/>
  <c r="J309" i="36"/>
  <c r="J478"/>
  <c r="J438"/>
  <c r="J476"/>
  <c r="T13" i="23"/>
  <c r="J266" i="36"/>
  <c r="J472"/>
  <c r="J86" i="37"/>
  <c r="Z19" i="23"/>
  <c r="T16"/>
  <c r="J204" i="36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G36" i="33"/>
  <c r="G35"/>
  <c r="D16" i="26"/>
  <c r="D15"/>
  <c r="J81" i="37"/>
  <c r="M81"/>
  <c r="G81"/>
  <c r="D81"/>
  <c r="E10" i="26"/>
  <c r="K86" i="37"/>
  <c r="AA19" i="23"/>
  <c r="J254" i="36"/>
  <c r="J470"/>
  <c r="F19" i="17"/>
  <c r="G19"/>
  <c r="H19"/>
  <c r="E19"/>
  <c r="F17"/>
  <c r="G17"/>
  <c r="H17"/>
  <c r="E17"/>
  <c r="F15"/>
  <c r="G15"/>
  <c r="H15"/>
  <c r="E15"/>
  <c r="F13"/>
  <c r="G13"/>
  <c r="H13"/>
  <c r="E13"/>
  <c r="F11"/>
  <c r="G11"/>
  <c r="H11"/>
  <c r="E11"/>
  <c r="H9"/>
  <c r="G9"/>
  <c r="F9"/>
  <c r="D30" i="4"/>
  <c r="D29"/>
  <c r="D28"/>
  <c r="E23" i="35"/>
  <c r="E45"/>
  <c r="H49"/>
  <c r="Y50" i="23"/>
  <c r="G29" i="38"/>
  <c r="AT51" i="23"/>
  <c r="AS51"/>
  <c r="AP51"/>
  <c r="AN51"/>
  <c r="AS50"/>
  <c r="AO50"/>
  <c r="AN50"/>
  <c r="B84" i="17"/>
  <c r="D84"/>
  <c r="E84"/>
  <c r="AE45" i="23"/>
  <c r="T40"/>
  <c r="U40"/>
  <c r="V40"/>
  <c r="W40"/>
  <c r="X40"/>
  <c r="Y40"/>
  <c r="Z40"/>
  <c r="AA40"/>
  <c r="AB40"/>
  <c r="AC40"/>
  <c r="AD40"/>
  <c r="AE40"/>
  <c r="T41"/>
  <c r="U41"/>
  <c r="V41"/>
  <c r="W41"/>
  <c r="X41"/>
  <c r="Y41"/>
  <c r="Z41"/>
  <c r="AA41"/>
  <c r="AB41"/>
  <c r="AC41"/>
  <c r="AD41"/>
  <c r="AE41"/>
  <c r="T42"/>
  <c r="U42"/>
  <c r="V42"/>
  <c r="W42"/>
  <c r="X42"/>
  <c r="Y42"/>
  <c r="Z42"/>
  <c r="AA42"/>
  <c r="AB42"/>
  <c r="AC42"/>
  <c r="AD42"/>
  <c r="AE42"/>
  <c r="T43"/>
  <c r="U43"/>
  <c r="V43"/>
  <c r="W43"/>
  <c r="X43"/>
  <c r="Y43"/>
  <c r="Z43"/>
  <c r="AA43"/>
  <c r="AB43"/>
  <c r="AC43"/>
  <c r="AD43"/>
  <c r="AE43"/>
  <c r="T44"/>
  <c r="U44"/>
  <c r="V44"/>
  <c r="W44"/>
  <c r="X44"/>
  <c r="Y44"/>
  <c r="Z44"/>
  <c r="AA44"/>
  <c r="AB44"/>
  <c r="AC44"/>
  <c r="AD44"/>
  <c r="AE44"/>
  <c r="T45"/>
  <c r="U45"/>
  <c r="V45"/>
  <c r="W45"/>
  <c r="X45"/>
  <c r="Y45"/>
  <c r="Z45"/>
  <c r="AA45"/>
  <c r="AB45"/>
  <c r="AC45"/>
  <c r="AD45"/>
  <c r="T46"/>
  <c r="U46"/>
  <c r="V46"/>
  <c r="W46"/>
  <c r="X46"/>
  <c r="Y46"/>
  <c r="Z46"/>
  <c r="AA46"/>
  <c r="AB46"/>
  <c r="AC46"/>
  <c r="AD46"/>
  <c r="AE46"/>
  <c r="T47"/>
  <c r="U47"/>
  <c r="V47"/>
  <c r="W47"/>
  <c r="X47"/>
  <c r="Y47"/>
  <c r="Z47"/>
  <c r="AA47"/>
  <c r="AB47"/>
  <c r="AC47"/>
  <c r="AD47"/>
  <c r="AE47"/>
  <c r="T48"/>
  <c r="U48"/>
  <c r="V48"/>
  <c r="W48"/>
  <c r="X48"/>
  <c r="Y48"/>
  <c r="Z48"/>
  <c r="AA48"/>
  <c r="AB48"/>
  <c r="AC48"/>
  <c r="AD48"/>
  <c r="AE48"/>
  <c r="T49"/>
  <c r="U49"/>
  <c r="V49"/>
  <c r="W49"/>
  <c r="X49"/>
  <c r="Y49"/>
  <c r="Z49"/>
  <c r="AA49"/>
  <c r="AB49"/>
  <c r="AC49"/>
  <c r="AD49"/>
  <c r="AE49"/>
  <c r="T50"/>
  <c r="U50"/>
  <c r="V50"/>
  <c r="W50"/>
  <c r="X50"/>
  <c r="Z50"/>
  <c r="AA50"/>
  <c r="AB50"/>
  <c r="AC50"/>
  <c r="AD50"/>
  <c r="AE50"/>
  <c r="T51"/>
  <c r="U51"/>
  <c r="V51"/>
  <c r="W51"/>
  <c r="X51"/>
  <c r="Y51"/>
  <c r="Z51"/>
  <c r="AA51"/>
  <c r="AB51"/>
  <c r="AC51"/>
  <c r="AD51"/>
  <c r="AE51"/>
  <c r="T52"/>
  <c r="U52"/>
  <c r="V52"/>
  <c r="W52"/>
  <c r="X52"/>
  <c r="Y52"/>
  <c r="Z52"/>
  <c r="AA52"/>
  <c r="AB52"/>
  <c r="AC52"/>
  <c r="AD52"/>
  <c r="AE52"/>
  <c r="T53"/>
  <c r="U53"/>
  <c r="V53"/>
  <c r="W53"/>
  <c r="X53"/>
  <c r="Y53"/>
  <c r="Z53"/>
  <c r="AA53"/>
  <c r="AB53"/>
  <c r="AC53"/>
  <c r="AD53"/>
  <c r="AE53"/>
  <c r="T54"/>
  <c r="U54"/>
  <c r="V54"/>
  <c r="W54"/>
  <c r="X54"/>
  <c r="Y54"/>
  <c r="Z54"/>
  <c r="AA54"/>
  <c r="AB54"/>
  <c r="AC54"/>
  <c r="AD54"/>
  <c r="AE54"/>
  <c r="U39"/>
  <c r="V39"/>
  <c r="W39"/>
  <c r="X39"/>
  <c r="Y39"/>
  <c r="Z39"/>
  <c r="AA39"/>
  <c r="AB39"/>
  <c r="AC39"/>
  <c r="AD39"/>
  <c r="AE39"/>
  <c r="T39"/>
  <c r="T35"/>
  <c r="U35"/>
  <c r="V35"/>
  <c r="W35"/>
  <c r="X35"/>
  <c r="Y35"/>
  <c r="Z35"/>
  <c r="AA35"/>
  <c r="AB35"/>
  <c r="AC35"/>
  <c r="AD35"/>
  <c r="AE35"/>
  <c r="T36"/>
  <c r="U36"/>
  <c r="V36"/>
  <c r="W36"/>
  <c r="X36"/>
  <c r="Y36"/>
  <c r="Z36"/>
  <c r="AA36"/>
  <c r="AB36"/>
  <c r="AC36"/>
  <c r="AD36"/>
  <c r="AE36"/>
  <c r="T37"/>
  <c r="U37"/>
  <c r="V37"/>
  <c r="W37"/>
  <c r="X37"/>
  <c r="Y37"/>
  <c r="Z37"/>
  <c r="AA37"/>
  <c r="AB37"/>
  <c r="AC37"/>
  <c r="AD37"/>
  <c r="AE37"/>
  <c r="U34"/>
  <c r="V34"/>
  <c r="W34"/>
  <c r="X34"/>
  <c r="Y34"/>
  <c r="Z34"/>
  <c r="AA34"/>
  <c r="AB34"/>
  <c r="AC34"/>
  <c r="AD34"/>
  <c r="AE34"/>
  <c r="T34"/>
  <c r="T27"/>
  <c r="U27"/>
  <c r="V27"/>
  <c r="W27"/>
  <c r="X27"/>
  <c r="Y27"/>
  <c r="Z27"/>
  <c r="AA27"/>
  <c r="AB27"/>
  <c r="AC27"/>
  <c r="AD27"/>
  <c r="AE27"/>
  <c r="T28"/>
  <c r="U28"/>
  <c r="V28"/>
  <c r="W28"/>
  <c r="X28"/>
  <c r="Y28"/>
  <c r="Z28"/>
  <c r="AA28"/>
  <c r="AB28"/>
  <c r="AC28"/>
  <c r="AD28"/>
  <c r="AE28"/>
  <c r="T29"/>
  <c r="U29"/>
  <c r="V29"/>
  <c r="W29"/>
  <c r="X29"/>
  <c r="Y29"/>
  <c r="Z29"/>
  <c r="AA29"/>
  <c r="AB29"/>
  <c r="AC29"/>
  <c r="AD29"/>
  <c r="AE29"/>
  <c r="T30"/>
  <c r="U30"/>
  <c r="V30"/>
  <c r="W30"/>
  <c r="X30"/>
  <c r="Y30"/>
  <c r="Z30"/>
  <c r="AA30"/>
  <c r="AB30"/>
  <c r="AC30"/>
  <c r="AD30"/>
  <c r="AE30"/>
  <c r="T31"/>
  <c r="U31"/>
  <c r="V31"/>
  <c r="W31"/>
  <c r="X31"/>
  <c r="Y31"/>
  <c r="Z31"/>
  <c r="AA31"/>
  <c r="AB31"/>
  <c r="AC31"/>
  <c r="AD31"/>
  <c r="AE31"/>
  <c r="T32"/>
  <c r="U32"/>
  <c r="V32"/>
  <c r="W32"/>
  <c r="X32"/>
  <c r="Y32"/>
  <c r="Z32"/>
  <c r="AA32"/>
  <c r="AB32"/>
  <c r="AC32"/>
  <c r="AD32"/>
  <c r="AE32"/>
  <c r="U26"/>
  <c r="V26"/>
  <c r="W26"/>
  <c r="X26"/>
  <c r="Y26"/>
  <c r="Z26"/>
  <c r="AA26"/>
  <c r="AB26"/>
  <c r="AC26"/>
  <c r="AD26"/>
  <c r="AE26"/>
  <c r="T26"/>
  <c r="N25" i="38"/>
  <c r="N23"/>
  <c r="N22"/>
  <c r="N21"/>
  <c r="N19"/>
  <c r="O33"/>
  <c r="O32"/>
  <c r="O31"/>
  <c r="O30"/>
  <c r="M29"/>
  <c r="K29"/>
  <c r="J29"/>
  <c r="I29"/>
  <c r="F29"/>
  <c r="D29"/>
  <c r="O28"/>
  <c r="H28"/>
  <c r="O27"/>
  <c r="O26"/>
  <c r="M25"/>
  <c r="L25"/>
  <c r="K25"/>
  <c r="J25"/>
  <c r="I25"/>
  <c r="H25"/>
  <c r="G25"/>
  <c r="F25"/>
  <c r="E25"/>
  <c r="D25"/>
  <c r="C25"/>
  <c r="M24"/>
  <c r="L24"/>
  <c r="K24"/>
  <c r="J24"/>
  <c r="I24"/>
  <c r="H24"/>
  <c r="G24"/>
  <c r="F24"/>
  <c r="E24"/>
  <c r="L23"/>
  <c r="K23"/>
  <c r="J23"/>
  <c r="I23"/>
  <c r="H23"/>
  <c r="G23"/>
  <c r="F23"/>
  <c r="E23"/>
  <c r="D23"/>
  <c r="C23"/>
  <c r="M22"/>
  <c r="L22"/>
  <c r="K22"/>
  <c r="I22"/>
  <c r="H22"/>
  <c r="G22"/>
  <c r="F22"/>
  <c r="E22"/>
  <c r="D22"/>
  <c r="M21"/>
  <c r="K21"/>
  <c r="J21"/>
  <c r="I21"/>
  <c r="H21"/>
  <c r="G21"/>
  <c r="F21"/>
  <c r="E21"/>
  <c r="D21"/>
  <c r="C21"/>
  <c r="O21"/>
  <c r="O20"/>
  <c r="M19"/>
  <c r="L19"/>
  <c r="L17"/>
  <c r="L12"/>
  <c r="L34"/>
  <c r="K19"/>
  <c r="J19"/>
  <c r="J17"/>
  <c r="J12"/>
  <c r="H19"/>
  <c r="G19"/>
  <c r="F19"/>
  <c r="F17"/>
  <c r="F12"/>
  <c r="O18"/>
  <c r="K18"/>
  <c r="H17"/>
  <c r="H12"/>
  <c r="E18"/>
  <c r="M17"/>
  <c r="M12"/>
  <c r="K17"/>
  <c r="K12"/>
  <c r="I17"/>
  <c r="I12"/>
  <c r="G17"/>
  <c r="E17"/>
  <c r="C17"/>
  <c r="C12"/>
  <c r="C34"/>
  <c r="O16"/>
  <c r="O15"/>
  <c r="O14"/>
  <c r="O13"/>
  <c r="G12"/>
  <c r="O11"/>
  <c r="O10"/>
  <c r="O9"/>
  <c r="O8"/>
  <c r="O7"/>
  <c r="O6"/>
  <c r="O5"/>
  <c r="N4"/>
  <c r="M4"/>
  <c r="L4"/>
  <c r="J4"/>
  <c r="I4"/>
  <c r="H4"/>
  <c r="G4"/>
  <c r="F4"/>
  <c r="E4"/>
  <c r="D4"/>
  <c r="C4"/>
  <c r="G14" i="4"/>
  <c r="G6"/>
  <c r="G5"/>
  <c r="G15"/>
  <c r="G11"/>
  <c r="G10"/>
  <c r="G8"/>
  <c r="N79" i="37"/>
  <c r="AD21" i="23"/>
  <c r="K79" i="37"/>
  <c r="AA21" i="23"/>
  <c r="E79" i="37"/>
  <c r="U21" i="23"/>
  <c r="O84" i="37"/>
  <c r="N84"/>
  <c r="M84"/>
  <c r="L84"/>
  <c r="K84"/>
  <c r="J84"/>
  <c r="I84"/>
  <c r="H84"/>
  <c r="G84"/>
  <c r="F84"/>
  <c r="E84"/>
  <c r="D84"/>
  <c r="O82"/>
  <c r="N82"/>
  <c r="M82"/>
  <c r="L82"/>
  <c r="K82"/>
  <c r="J82"/>
  <c r="I82"/>
  <c r="H82"/>
  <c r="G82"/>
  <c r="F82"/>
  <c r="E82"/>
  <c r="D82"/>
  <c r="M79"/>
  <c r="AC21" i="23"/>
  <c r="I79" i="37"/>
  <c r="Y21" i="23"/>
  <c r="L79" i="37"/>
  <c r="AB21" i="23"/>
  <c r="G79" i="37"/>
  <c r="W21" i="23"/>
  <c r="O79" i="37"/>
  <c r="AE21" i="23"/>
  <c r="J79" i="37"/>
  <c r="Z21" i="23"/>
  <c r="F79" i="37"/>
  <c r="V21" i="23"/>
  <c r="D79" i="37"/>
  <c r="T21" i="23"/>
  <c r="H78" i="37"/>
  <c r="P78"/>
  <c r="L77"/>
  <c r="I77"/>
  <c r="M76"/>
  <c r="L76"/>
  <c r="M75"/>
  <c r="L75"/>
  <c r="I75"/>
  <c r="I74"/>
  <c r="Y20" i="23"/>
  <c r="H75" i="37"/>
  <c r="G75"/>
  <c r="O74"/>
  <c r="AE20" i="23"/>
  <c r="N74" i="37"/>
  <c r="AD20" i="23"/>
  <c r="K74" i="37"/>
  <c r="AA20" i="23"/>
  <c r="J74" i="37"/>
  <c r="Z20" i="23"/>
  <c r="F74" i="37"/>
  <c r="V20" i="23"/>
  <c r="E74" i="37"/>
  <c r="U20" i="23"/>
  <c r="D74" i="37"/>
  <c r="T20" i="23"/>
  <c r="L73" i="37"/>
  <c r="K73"/>
  <c r="H73"/>
  <c r="G73"/>
  <c r="F73"/>
  <c r="M72"/>
  <c r="L72"/>
  <c r="K72"/>
  <c r="J72"/>
  <c r="P72"/>
  <c r="I72"/>
  <c r="G72"/>
  <c r="F72"/>
  <c r="M71"/>
  <c r="L71"/>
  <c r="J71"/>
  <c r="I71"/>
  <c r="H71"/>
  <c r="F71"/>
  <c r="M70"/>
  <c r="J70"/>
  <c r="I70"/>
  <c r="H70"/>
  <c r="F70"/>
  <c r="P69"/>
  <c r="M69"/>
  <c r="P68"/>
  <c r="L68"/>
  <c r="P67"/>
  <c r="K66"/>
  <c r="F66"/>
  <c r="M65"/>
  <c r="L65"/>
  <c r="P65"/>
  <c r="M64"/>
  <c r="L64"/>
  <c r="P64"/>
  <c r="L63"/>
  <c r="K63"/>
  <c r="J63"/>
  <c r="G63"/>
  <c r="P63"/>
  <c r="F63"/>
  <c r="L62"/>
  <c r="F62"/>
  <c r="E62"/>
  <c r="L61"/>
  <c r="P61"/>
  <c r="P59"/>
  <c r="K58"/>
  <c r="M57"/>
  <c r="K57"/>
  <c r="J57"/>
  <c r="H57"/>
  <c r="P58"/>
  <c r="E57"/>
  <c r="P57"/>
  <c r="P60"/>
  <c r="M56"/>
  <c r="I56"/>
  <c r="H56"/>
  <c r="F56"/>
  <c r="H55"/>
  <c r="P55"/>
  <c r="J54"/>
  <c r="P54"/>
  <c r="J53"/>
  <c r="I53"/>
  <c r="P52"/>
  <c r="P51"/>
  <c r="J49"/>
  <c r="I49"/>
  <c r="H49"/>
  <c r="F49"/>
  <c r="P50"/>
  <c r="P49"/>
  <c r="P48"/>
  <c r="P47"/>
  <c r="P46"/>
  <c r="K45"/>
  <c r="J45"/>
  <c r="N43"/>
  <c r="H43"/>
  <c r="I44"/>
  <c r="N42"/>
  <c r="L42"/>
  <c r="F42"/>
  <c r="P41"/>
  <c r="P40"/>
  <c r="L33"/>
  <c r="G39"/>
  <c r="P39"/>
  <c r="M38"/>
  <c r="H38"/>
  <c r="L37"/>
  <c r="J37"/>
  <c r="F37"/>
  <c r="L35"/>
  <c r="P35"/>
  <c r="F35"/>
  <c r="P34"/>
  <c r="L36"/>
  <c r="P33"/>
  <c r="L34"/>
  <c r="P32"/>
  <c r="M32"/>
  <c r="P31"/>
  <c r="E31"/>
  <c r="N27"/>
  <c r="L27"/>
  <c r="J27"/>
  <c r="H27"/>
  <c r="F27"/>
  <c r="P27"/>
  <c r="N28"/>
  <c r="L28"/>
  <c r="F28"/>
  <c r="L30"/>
  <c r="N29"/>
  <c r="L29"/>
  <c r="J25"/>
  <c r="I25"/>
  <c r="M24"/>
  <c r="L24"/>
  <c r="F24"/>
  <c r="H23"/>
  <c r="P23"/>
  <c r="G22"/>
  <c r="P22"/>
  <c r="M21"/>
  <c r="P21"/>
  <c r="P20"/>
  <c r="I19"/>
  <c r="P19"/>
  <c r="N18"/>
  <c r="G18"/>
  <c r="F18"/>
  <c r="E18"/>
  <c r="L17"/>
  <c r="J17"/>
  <c r="F17"/>
  <c r="P17"/>
  <c r="P15"/>
  <c r="M14"/>
  <c r="J14"/>
  <c r="I14"/>
  <c r="M13"/>
  <c r="J13"/>
  <c r="M12"/>
  <c r="P12"/>
  <c r="H11"/>
  <c r="P11"/>
  <c r="M10"/>
  <c r="L10"/>
  <c r="J10"/>
  <c r="H10"/>
  <c r="G10"/>
  <c r="P9"/>
  <c r="M8"/>
  <c r="K8"/>
  <c r="K5"/>
  <c r="I8"/>
  <c r="H8"/>
  <c r="M7"/>
  <c r="P7"/>
  <c r="M6"/>
  <c r="L6"/>
  <c r="L5"/>
  <c r="J6"/>
  <c r="H6"/>
  <c r="H5"/>
  <c r="F6"/>
  <c r="O5"/>
  <c r="J5"/>
  <c r="P4"/>
  <c r="P3"/>
  <c r="O3"/>
  <c r="N3"/>
  <c r="M3"/>
  <c r="L3"/>
  <c r="K3"/>
  <c r="J3"/>
  <c r="I3"/>
  <c r="H3"/>
  <c r="G3"/>
  <c r="F3"/>
  <c r="E3"/>
  <c r="D3"/>
  <c r="B6" i="3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H192"/>
  <c r="J192"/>
  <c r="H191"/>
  <c r="J191"/>
  <c r="H190"/>
  <c r="J190"/>
  <c r="H189"/>
  <c r="J189"/>
  <c r="H188"/>
  <c r="J188"/>
  <c r="J187"/>
  <c r="J186"/>
  <c r="J185"/>
  <c r="J184"/>
  <c r="J183"/>
  <c r="J182"/>
  <c r="J181"/>
  <c r="H180"/>
  <c r="J180"/>
  <c r="H179"/>
  <c r="J179"/>
  <c r="H178"/>
  <c r="J178"/>
  <c r="J177"/>
  <c r="J176"/>
  <c r="J175"/>
  <c r="J174"/>
  <c r="J173"/>
  <c r="H172"/>
  <c r="J172"/>
  <c r="H171"/>
  <c r="J171"/>
  <c r="H170"/>
  <c r="J170"/>
  <c r="H169"/>
  <c r="J169"/>
  <c r="H168"/>
  <c r="J168"/>
  <c r="J167"/>
  <c r="H166"/>
  <c r="J166"/>
  <c r="H165"/>
  <c r="J165"/>
  <c r="H164"/>
  <c r="J164"/>
  <c r="J163"/>
  <c r="H162"/>
  <c r="J162"/>
  <c r="J161"/>
  <c r="J160"/>
  <c r="J159"/>
  <c r="J158"/>
  <c r="J157"/>
  <c r="H156"/>
  <c r="J156"/>
  <c r="H155"/>
  <c r="J155"/>
  <c r="H154"/>
  <c r="J154"/>
  <c r="H153"/>
  <c r="J153"/>
  <c r="H152"/>
  <c r="J152"/>
  <c r="J151"/>
  <c r="J150"/>
  <c r="J149"/>
  <c r="J148"/>
  <c r="J147"/>
  <c r="I138"/>
  <c r="H138"/>
  <c r="J138"/>
  <c r="I137"/>
  <c r="H137"/>
  <c r="J137"/>
  <c r="I136"/>
  <c r="H136"/>
  <c r="J136"/>
  <c r="I135"/>
  <c r="H135"/>
  <c r="J135"/>
  <c r="I134"/>
  <c r="H134"/>
  <c r="J134"/>
  <c r="I133"/>
  <c r="H133"/>
  <c r="J133"/>
  <c r="I132"/>
  <c r="H132"/>
  <c r="J132"/>
  <c r="I131"/>
  <c r="H131"/>
  <c r="J131"/>
  <c r="I130"/>
  <c r="H130"/>
  <c r="J130"/>
  <c r="I129"/>
  <c r="H129"/>
  <c r="J129"/>
  <c r="I128"/>
  <c r="H128"/>
  <c r="J128"/>
  <c r="I127"/>
  <c r="H127"/>
  <c r="J127"/>
  <c r="I126"/>
  <c r="H126"/>
  <c r="J126"/>
  <c r="I125"/>
  <c r="H125"/>
  <c r="J125"/>
  <c r="I124"/>
  <c r="H124"/>
  <c r="J124"/>
  <c r="I123"/>
  <c r="H123"/>
  <c r="J123"/>
  <c r="I122"/>
  <c r="H122"/>
  <c r="J122"/>
  <c r="I121"/>
  <c r="H121"/>
  <c r="J121"/>
  <c r="I120"/>
  <c r="H120"/>
  <c r="J120"/>
  <c r="I119"/>
  <c r="H119"/>
  <c r="J119"/>
  <c r="I118"/>
  <c r="H118"/>
  <c r="J118"/>
  <c r="I117"/>
  <c r="H117"/>
  <c r="J117"/>
  <c r="I116"/>
  <c r="H116"/>
  <c r="J116"/>
  <c r="I115"/>
  <c r="H115"/>
  <c r="J115"/>
  <c r="I114"/>
  <c r="H114"/>
  <c r="J114"/>
  <c r="I113"/>
  <c r="H113"/>
  <c r="J113"/>
  <c r="I112"/>
  <c r="H112"/>
  <c r="J112"/>
  <c r="I111"/>
  <c r="H111"/>
  <c r="J111"/>
  <c r="I110"/>
  <c r="H110"/>
  <c r="J110"/>
  <c r="I109"/>
  <c r="H109"/>
  <c r="J109"/>
  <c r="I108"/>
  <c r="H108"/>
  <c r="J108"/>
  <c r="I107"/>
  <c r="H107"/>
  <c r="J107"/>
  <c r="I106"/>
  <c r="H106"/>
  <c r="J106"/>
  <c r="I105"/>
  <c r="H105"/>
  <c r="J105"/>
  <c r="I104"/>
  <c r="H104"/>
  <c r="J104"/>
  <c r="I103"/>
  <c r="H103"/>
  <c r="J103"/>
  <c r="I102"/>
  <c r="H102"/>
  <c r="J102"/>
  <c r="I101"/>
  <c r="H101"/>
  <c r="J101"/>
  <c r="I100"/>
  <c r="H100"/>
  <c r="J100"/>
  <c r="I99"/>
  <c r="H99"/>
  <c r="J99"/>
  <c r="I98"/>
  <c r="H98"/>
  <c r="J98"/>
  <c r="I97"/>
  <c r="H97"/>
  <c r="J97"/>
  <c r="I96"/>
  <c r="H96"/>
  <c r="J96"/>
  <c r="I95"/>
  <c r="H95"/>
  <c r="J95"/>
  <c r="I94"/>
  <c r="H94"/>
  <c r="J94"/>
  <c r="I93"/>
  <c r="H93"/>
  <c r="J93"/>
  <c r="I92"/>
  <c r="H92"/>
  <c r="J92"/>
  <c r="I91"/>
  <c r="H91"/>
  <c r="J91"/>
  <c r="I90"/>
  <c r="H90"/>
  <c r="J90"/>
  <c r="I89"/>
  <c r="H89"/>
  <c r="J89"/>
  <c r="I88"/>
  <c r="H88"/>
  <c r="J88"/>
  <c r="I87"/>
  <c r="H87"/>
  <c r="J87"/>
  <c r="I86"/>
  <c r="H86"/>
  <c r="J86"/>
  <c r="I85"/>
  <c r="H85"/>
  <c r="J85"/>
  <c r="I84"/>
  <c r="H84"/>
  <c r="J84"/>
  <c r="I83"/>
  <c r="H83"/>
  <c r="J83"/>
  <c r="I82"/>
  <c r="H82"/>
  <c r="J82"/>
  <c r="I81"/>
  <c r="H81"/>
  <c r="J81"/>
  <c r="I80"/>
  <c r="H80"/>
  <c r="J80"/>
  <c r="I79"/>
  <c r="H79"/>
  <c r="J79"/>
  <c r="I78"/>
  <c r="H78"/>
  <c r="J78"/>
  <c r="I77"/>
  <c r="H77"/>
  <c r="J77"/>
  <c r="I76"/>
  <c r="H76"/>
  <c r="J76"/>
  <c r="I75"/>
  <c r="H75"/>
  <c r="J75"/>
  <c r="I74"/>
  <c r="H74"/>
  <c r="J74"/>
  <c r="I73"/>
  <c r="H73"/>
  <c r="J73"/>
  <c r="I72"/>
  <c r="H72"/>
  <c r="J72"/>
  <c r="I71"/>
  <c r="H71"/>
  <c r="J71"/>
  <c r="I70"/>
  <c r="H70"/>
  <c r="J70"/>
  <c r="I69"/>
  <c r="H69"/>
  <c r="J69"/>
  <c r="I68"/>
  <c r="H68"/>
  <c r="J68"/>
  <c r="I67"/>
  <c r="H67"/>
  <c r="J67"/>
  <c r="I66"/>
  <c r="H66"/>
  <c r="J66"/>
  <c r="I65"/>
  <c r="H65"/>
  <c r="J65"/>
  <c r="I64"/>
  <c r="H64"/>
  <c r="J64"/>
  <c r="I63"/>
  <c r="H63"/>
  <c r="J63"/>
  <c r="I62"/>
  <c r="H62"/>
  <c r="J62"/>
  <c r="I61"/>
  <c r="H61"/>
  <c r="J61"/>
  <c r="I60"/>
  <c r="H60"/>
  <c r="J60"/>
  <c r="I59"/>
  <c r="H59"/>
  <c r="J59"/>
  <c r="I58"/>
  <c r="H58"/>
  <c r="J58"/>
  <c r="I57"/>
  <c r="H57"/>
  <c r="J57"/>
  <c r="I56"/>
  <c r="H56"/>
  <c r="J56"/>
  <c r="I55"/>
  <c r="H55"/>
  <c r="J55"/>
  <c r="I54"/>
  <c r="H54"/>
  <c r="J54"/>
  <c r="I53"/>
  <c r="H53"/>
  <c r="J53"/>
  <c r="I52"/>
  <c r="H52"/>
  <c r="J52"/>
  <c r="I51"/>
  <c r="H51"/>
  <c r="J51"/>
  <c r="I50"/>
  <c r="H50"/>
  <c r="J50"/>
  <c r="I49"/>
  <c r="H49"/>
  <c r="J49"/>
  <c r="I48"/>
  <c r="H48"/>
  <c r="J48"/>
  <c r="I47"/>
  <c r="H47"/>
  <c r="J47"/>
  <c r="I46"/>
  <c r="H46"/>
  <c r="J46"/>
  <c r="I45"/>
  <c r="H45"/>
  <c r="J45"/>
  <c r="I44"/>
  <c r="H44"/>
  <c r="J44"/>
  <c r="I43"/>
  <c r="H43"/>
  <c r="J43"/>
  <c r="I42"/>
  <c r="H42"/>
  <c r="J42"/>
  <c r="I41"/>
  <c r="H41"/>
  <c r="J41"/>
  <c r="I40"/>
  <c r="H40"/>
  <c r="J40"/>
  <c r="I39"/>
  <c r="H39"/>
  <c r="J39"/>
  <c r="I38"/>
  <c r="H38"/>
  <c r="J38"/>
  <c r="I37"/>
  <c r="H37"/>
  <c r="J37"/>
  <c r="I36"/>
  <c r="H36"/>
  <c r="J36"/>
  <c r="I35"/>
  <c r="H35"/>
  <c r="J35"/>
  <c r="I34"/>
  <c r="H34"/>
  <c r="J34"/>
  <c r="I33"/>
  <c r="H33"/>
  <c r="J33"/>
  <c r="I32"/>
  <c r="H32"/>
  <c r="J32"/>
  <c r="I31"/>
  <c r="H31"/>
  <c r="J31"/>
  <c r="I30"/>
  <c r="H30"/>
  <c r="J30"/>
  <c r="I29"/>
  <c r="H29"/>
  <c r="J29"/>
  <c r="I28"/>
  <c r="H28"/>
  <c r="J28"/>
  <c r="I27"/>
  <c r="H27"/>
  <c r="J27"/>
  <c r="I26"/>
  <c r="H26"/>
  <c r="J26"/>
  <c r="I25"/>
  <c r="H25"/>
  <c r="J25"/>
  <c r="I24"/>
  <c r="H24"/>
  <c r="J24"/>
  <c r="I23"/>
  <c r="H23"/>
  <c r="J23"/>
  <c r="I22"/>
  <c r="H22"/>
  <c r="J22"/>
  <c r="I21"/>
  <c r="H21"/>
  <c r="J21"/>
  <c r="I20"/>
  <c r="H20"/>
  <c r="J20"/>
  <c r="I19"/>
  <c r="H19"/>
  <c r="J19"/>
  <c r="I18"/>
  <c r="H18"/>
  <c r="J18"/>
  <c r="I17"/>
  <c r="H17"/>
  <c r="J17"/>
  <c r="I16"/>
  <c r="H16"/>
  <c r="J16"/>
  <c r="I15"/>
  <c r="H15"/>
  <c r="J15"/>
  <c r="I14"/>
  <c r="H14"/>
  <c r="J14"/>
  <c r="I13"/>
  <c r="H13"/>
  <c r="J13"/>
  <c r="I12"/>
  <c r="H12"/>
  <c r="J12"/>
  <c r="I11"/>
  <c r="H11"/>
  <c r="J11"/>
  <c r="I10"/>
  <c r="H10"/>
  <c r="J10"/>
  <c r="I9"/>
  <c r="H9"/>
  <c r="J9"/>
  <c r="I8"/>
  <c r="H8"/>
  <c r="J8"/>
  <c r="I7"/>
  <c r="H7"/>
  <c r="J7"/>
  <c r="I6"/>
  <c r="H6"/>
  <c r="J6"/>
  <c r="I5"/>
  <c r="H5"/>
  <c r="J5"/>
  <c r="G26" i="35"/>
  <c r="G49"/>
  <c r="E41"/>
  <c r="E24"/>
  <c r="E48"/>
  <c r="G20"/>
  <c r="E21"/>
  <c r="E22"/>
  <c r="H22"/>
  <c r="E31"/>
  <c r="E29"/>
  <c r="H29"/>
  <c r="E33"/>
  <c r="E32"/>
  <c r="E34"/>
  <c r="E35"/>
  <c r="E50"/>
  <c r="E18"/>
  <c r="E19"/>
  <c r="E46"/>
  <c r="E28"/>
  <c r="E43"/>
  <c r="E42"/>
  <c r="E38"/>
  <c r="E37"/>
  <c r="H37"/>
  <c r="E39"/>
  <c r="E36"/>
  <c r="E27"/>
  <c r="E40"/>
  <c r="E44"/>
  <c r="G22"/>
  <c r="G29"/>
  <c r="G37"/>
  <c r="G47"/>
  <c r="D14" i="26"/>
  <c r="D12"/>
  <c r="D11"/>
  <c r="D10"/>
  <c r="T60" i="23"/>
  <c r="E99" i="17"/>
  <c r="T8" i="23"/>
  <c r="E80" i="17"/>
  <c r="I15" i="24"/>
  <c r="J15"/>
  <c r="K15"/>
  <c r="Q15"/>
  <c r="G76" i="17"/>
  <c r="B56"/>
  <c r="B55"/>
  <c r="H53"/>
  <c r="G53"/>
  <c r="F53"/>
  <c r="E53"/>
  <c r="B52"/>
  <c r="E50"/>
  <c r="F50"/>
  <c r="G50"/>
  <c r="H50"/>
  <c r="B49"/>
  <c r="E47"/>
  <c r="F47"/>
  <c r="G47"/>
  <c r="H47"/>
  <c r="H48"/>
  <c r="H51"/>
  <c r="G48"/>
  <c r="G51"/>
  <c r="F48"/>
  <c r="F51"/>
  <c r="E48"/>
  <c r="E51"/>
  <c r="F42"/>
  <c r="G42"/>
  <c r="H42"/>
  <c r="E42"/>
  <c r="O95" i="20"/>
  <c r="P95"/>
  <c r="Q95"/>
  <c r="R95"/>
  <c r="O97"/>
  <c r="P97"/>
  <c r="S97"/>
  <c r="Q97"/>
  <c r="R97"/>
  <c r="T18"/>
  <c r="D12"/>
  <c r="E12"/>
  <c r="F12"/>
  <c r="G12"/>
  <c r="H12"/>
  <c r="I12"/>
  <c r="J12"/>
  <c r="K12"/>
  <c r="L12"/>
  <c r="M12"/>
  <c r="N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D15"/>
  <c r="E15"/>
  <c r="F15"/>
  <c r="G15"/>
  <c r="H15"/>
  <c r="I15"/>
  <c r="J15"/>
  <c r="K15"/>
  <c r="L15"/>
  <c r="M15"/>
  <c r="N15"/>
  <c r="C13"/>
  <c r="C14"/>
  <c r="C15"/>
  <c r="C12"/>
  <c r="D65"/>
  <c r="E65"/>
  <c r="F65"/>
  <c r="G65"/>
  <c r="H65"/>
  <c r="I65"/>
  <c r="J65"/>
  <c r="K65"/>
  <c r="L65"/>
  <c r="M65"/>
  <c r="N65"/>
  <c r="D66"/>
  <c r="E66"/>
  <c r="F66"/>
  <c r="G66"/>
  <c r="H66"/>
  <c r="I66"/>
  <c r="J66"/>
  <c r="K66"/>
  <c r="L66"/>
  <c r="M66"/>
  <c r="N66"/>
  <c r="C66"/>
  <c r="C65"/>
  <c r="D55"/>
  <c r="E55"/>
  <c r="F55"/>
  <c r="G55"/>
  <c r="H55"/>
  <c r="I55"/>
  <c r="J55"/>
  <c r="K55"/>
  <c r="L55"/>
  <c r="M55"/>
  <c r="N55"/>
  <c r="D56"/>
  <c r="E56"/>
  <c r="F56"/>
  <c r="G56"/>
  <c r="H56"/>
  <c r="I56"/>
  <c r="J56"/>
  <c r="K56"/>
  <c r="L56"/>
  <c r="M56"/>
  <c r="N56"/>
  <c r="C56"/>
  <c r="C55"/>
  <c r="C59"/>
  <c r="D49"/>
  <c r="D16"/>
  <c r="E49"/>
  <c r="F49"/>
  <c r="F16"/>
  <c r="G49"/>
  <c r="H49"/>
  <c r="I49"/>
  <c r="I16"/>
  <c r="J49"/>
  <c r="J16"/>
  <c r="K49"/>
  <c r="L49"/>
  <c r="L16"/>
  <c r="M49"/>
  <c r="M16"/>
  <c r="N49"/>
  <c r="N16"/>
  <c r="D50"/>
  <c r="D17"/>
  <c r="E50"/>
  <c r="E17"/>
  <c r="F50"/>
  <c r="F17"/>
  <c r="G50"/>
  <c r="G17"/>
  <c r="H50"/>
  <c r="H17"/>
  <c r="I50"/>
  <c r="I17"/>
  <c r="J50"/>
  <c r="J51"/>
  <c r="J96"/>
  <c r="K50"/>
  <c r="K17"/>
  <c r="L50"/>
  <c r="L17"/>
  <c r="M50"/>
  <c r="M17"/>
  <c r="N50"/>
  <c r="C50"/>
  <c r="C17"/>
  <c r="C49"/>
  <c r="C51"/>
  <c r="C96"/>
  <c r="D39"/>
  <c r="E39"/>
  <c r="F39"/>
  <c r="G39"/>
  <c r="H39"/>
  <c r="I39"/>
  <c r="J39"/>
  <c r="K39"/>
  <c r="L39"/>
  <c r="M39"/>
  <c r="N39"/>
  <c r="D40"/>
  <c r="E40"/>
  <c r="F40"/>
  <c r="G40"/>
  <c r="H40"/>
  <c r="I40"/>
  <c r="J40"/>
  <c r="K40"/>
  <c r="L40"/>
  <c r="M40"/>
  <c r="N40"/>
  <c r="C40"/>
  <c r="C39"/>
  <c r="C43"/>
  <c r="R48"/>
  <c r="Q48"/>
  <c r="P48"/>
  <c r="O48"/>
  <c r="R47"/>
  <c r="Q47"/>
  <c r="P47"/>
  <c r="O47"/>
  <c r="R46"/>
  <c r="Q46"/>
  <c r="P46"/>
  <c r="O46"/>
  <c r="R45"/>
  <c r="Q45"/>
  <c r="P45"/>
  <c r="O45"/>
  <c r="R42"/>
  <c r="Q42"/>
  <c r="P42"/>
  <c r="O42"/>
  <c r="R41"/>
  <c r="Q41"/>
  <c r="P41"/>
  <c r="O41"/>
  <c r="R38"/>
  <c r="Q38"/>
  <c r="P38"/>
  <c r="O38"/>
  <c r="R37"/>
  <c r="Q37"/>
  <c r="P37"/>
  <c r="O37"/>
  <c r="G6" i="33"/>
  <c r="L62"/>
  <c r="K5" i="34"/>
  <c r="L5"/>
  <c r="K88" i="37"/>
  <c r="L86"/>
  <c r="AB19" i="23"/>
  <c r="G39" i="35"/>
  <c r="H39"/>
  <c r="G18"/>
  <c r="H18"/>
  <c r="G31"/>
  <c r="H31"/>
  <c r="G36"/>
  <c r="H36"/>
  <c r="G19"/>
  <c r="H19"/>
  <c r="G25"/>
  <c r="H25"/>
  <c r="G27"/>
  <c r="H27"/>
  <c r="G46"/>
  <c r="H46"/>
  <c r="G33"/>
  <c r="H33"/>
  <c r="G41"/>
  <c r="H41"/>
  <c r="G40"/>
  <c r="H40"/>
  <c r="G28"/>
  <c r="H28"/>
  <c r="G32"/>
  <c r="H32"/>
  <c r="G24"/>
  <c r="H24"/>
  <c r="G44"/>
  <c r="H44"/>
  <c r="G43"/>
  <c r="H43"/>
  <c r="G30"/>
  <c r="H30"/>
  <c r="G48"/>
  <c r="H48"/>
  <c r="G42"/>
  <c r="H42"/>
  <c r="G34"/>
  <c r="H34"/>
  <c r="G23"/>
  <c r="H23"/>
  <c r="G38"/>
  <c r="H38"/>
  <c r="G35"/>
  <c r="H35"/>
  <c r="G21"/>
  <c r="H21"/>
  <c r="G45"/>
  <c r="H45"/>
  <c r="G50"/>
  <c r="H50"/>
  <c r="S95" i="20"/>
  <c r="P82" i="37"/>
  <c r="K87"/>
  <c r="J88"/>
  <c r="J87"/>
  <c r="H88"/>
  <c r="H87"/>
  <c r="P84"/>
  <c r="S47" i="20"/>
  <c r="S37"/>
  <c r="M86" i="37"/>
  <c r="AC19" i="23"/>
  <c r="L88" i="37"/>
  <c r="L87"/>
  <c r="J194" i="36"/>
  <c r="J469"/>
  <c r="P49" i="20"/>
  <c r="N51"/>
  <c r="N96"/>
  <c r="F34" i="38"/>
  <c r="E12"/>
  <c r="E34"/>
  <c r="M34"/>
  <c r="L43" i="20"/>
  <c r="D43"/>
  <c r="L59"/>
  <c r="D59"/>
  <c r="J34" i="38"/>
  <c r="G34"/>
  <c r="H34"/>
  <c r="I34"/>
  <c r="N5" i="37"/>
  <c r="P73"/>
  <c r="P75"/>
  <c r="M74"/>
  <c r="AC20" i="23"/>
  <c r="P77" i="37"/>
  <c r="H79"/>
  <c r="X21" i="23"/>
  <c r="F5" i="37"/>
  <c r="P14"/>
  <c r="P16"/>
  <c r="P45"/>
  <c r="G74"/>
  <c r="W20" i="23"/>
  <c r="P29" i="37"/>
  <c r="P37"/>
  <c r="P8"/>
  <c r="P13"/>
  <c r="P25"/>
  <c r="P30"/>
  <c r="P43"/>
  <c r="P53"/>
  <c r="O4" i="38"/>
  <c r="O29"/>
  <c r="O12"/>
  <c r="O25"/>
  <c r="O24"/>
  <c r="O23"/>
  <c r="N17"/>
  <c r="N12"/>
  <c r="N34"/>
  <c r="O22"/>
  <c r="O19"/>
  <c r="K4"/>
  <c r="K34"/>
  <c r="D17"/>
  <c r="D12"/>
  <c r="D34"/>
  <c r="I5" i="37"/>
  <c r="P18"/>
  <c r="P36"/>
  <c r="P42"/>
  <c r="P62"/>
  <c r="P66"/>
  <c r="P80"/>
  <c r="P70"/>
  <c r="M5"/>
  <c r="G5"/>
  <c r="P24"/>
  <c r="P26"/>
  <c r="P38"/>
  <c r="P44"/>
  <c r="P56"/>
  <c r="P71"/>
  <c r="P76"/>
  <c r="P6"/>
  <c r="P10"/>
  <c r="P28"/>
  <c r="E5"/>
  <c r="H74"/>
  <c r="X20" i="23"/>
  <c r="L74" i="37"/>
  <c r="AB20" i="23"/>
  <c r="J139" i="36"/>
  <c r="K43" i="20"/>
  <c r="M43"/>
  <c r="E43"/>
  <c r="M59"/>
  <c r="E59"/>
  <c r="N43"/>
  <c r="F43"/>
  <c r="N59"/>
  <c r="F59"/>
  <c r="G43"/>
  <c r="G59"/>
  <c r="H43"/>
  <c r="H59"/>
  <c r="P40"/>
  <c r="Q39"/>
  <c r="I59"/>
  <c r="J43"/>
  <c r="J59"/>
  <c r="K59"/>
  <c r="K51"/>
  <c r="K96"/>
  <c r="K16"/>
  <c r="E51"/>
  <c r="E96"/>
  <c r="C16"/>
  <c r="J17"/>
  <c r="E16"/>
  <c r="G51"/>
  <c r="G96"/>
  <c r="G16"/>
  <c r="I43"/>
  <c r="H16"/>
  <c r="N17"/>
  <c r="O40"/>
  <c r="P39"/>
  <c r="P50"/>
  <c r="Q49"/>
  <c r="Q50"/>
  <c r="L51"/>
  <c r="L96"/>
  <c r="D51"/>
  <c r="F51"/>
  <c r="M51"/>
  <c r="M96"/>
  <c r="O50"/>
  <c r="H51"/>
  <c r="H96"/>
  <c r="Q40"/>
  <c r="R39"/>
  <c r="S45"/>
  <c r="R40"/>
  <c r="R50"/>
  <c r="S48"/>
  <c r="S41"/>
  <c r="S46"/>
  <c r="I51"/>
  <c r="S38"/>
  <c r="S42"/>
  <c r="R49"/>
  <c r="O49"/>
  <c r="O39"/>
  <c r="F40" i="33"/>
  <c r="F44"/>
  <c r="F49"/>
  <c r="D57"/>
  <c r="E40"/>
  <c r="E41"/>
  <c r="F41"/>
  <c r="E42"/>
  <c r="F42"/>
  <c r="E43"/>
  <c r="F43"/>
  <c r="E44"/>
  <c r="E45"/>
  <c r="F45"/>
  <c r="E46"/>
  <c r="F46"/>
  <c r="E47"/>
  <c r="F47"/>
  <c r="E48"/>
  <c r="E49"/>
  <c r="E50"/>
  <c r="F50"/>
  <c r="E51"/>
  <c r="F51"/>
  <c r="E52"/>
  <c r="F52"/>
  <c r="E53"/>
  <c r="E54"/>
  <c r="F54"/>
  <c r="E55"/>
  <c r="F55"/>
  <c r="E56"/>
  <c r="E39"/>
  <c r="F39"/>
  <c r="C55"/>
  <c r="C54"/>
  <c r="C53"/>
  <c r="C52"/>
  <c r="C51"/>
  <c r="C49"/>
  <c r="C47"/>
  <c r="C42"/>
  <c r="C41"/>
  <c r="C39"/>
  <c r="U7" i="24"/>
  <c r="U12"/>
  <c r="N29" i="32"/>
  <c r="N30"/>
  <c r="N31"/>
  <c r="N32"/>
  <c r="N33"/>
  <c r="N34"/>
  <c r="N35"/>
  <c r="N36"/>
  <c r="N37"/>
  <c r="N38"/>
  <c r="N39"/>
  <c r="N40"/>
  <c r="G30"/>
  <c r="G31"/>
  <c r="G32"/>
  <c r="G33"/>
  <c r="F30"/>
  <c r="N6"/>
  <c r="N7"/>
  <c r="N8"/>
  <c r="N9"/>
  <c r="N10"/>
  <c r="N11"/>
  <c r="N12"/>
  <c r="N13"/>
  <c r="N14"/>
  <c r="N15"/>
  <c r="N16"/>
  <c r="N17"/>
  <c r="F7"/>
  <c r="F8"/>
  <c r="F9"/>
  <c r="F10"/>
  <c r="F11"/>
  <c r="F12"/>
  <c r="F13"/>
  <c r="F14"/>
  <c r="F15"/>
  <c r="F16"/>
  <c r="F17"/>
  <c r="F6"/>
  <c r="C7" i="34"/>
  <c r="C6"/>
  <c r="G15" i="24"/>
  <c r="H15"/>
  <c r="Q10"/>
  <c r="Q5"/>
  <c r="B6"/>
  <c r="B5"/>
  <c r="B4"/>
  <c r="I6" i="33"/>
  <c r="I7"/>
  <c r="W6"/>
  <c r="I7" i="34"/>
  <c r="H7"/>
  <c r="G8"/>
  <c r="C30"/>
  <c r="D9"/>
  <c r="I8"/>
  <c r="F8"/>
  <c r="H6"/>
  <c r="E17" i="32"/>
  <c r="E22"/>
  <c r="C42"/>
  <c r="D42"/>
  <c r="E42"/>
  <c r="E46"/>
  <c r="C43"/>
  <c r="D43"/>
  <c r="E43"/>
  <c r="C44"/>
  <c r="D44"/>
  <c r="E44"/>
  <c r="C45"/>
  <c r="D45"/>
  <c r="E45"/>
  <c r="D6"/>
  <c r="D19"/>
  <c r="C19"/>
  <c r="E19"/>
  <c r="C20"/>
  <c r="D20"/>
  <c r="E20"/>
  <c r="C21"/>
  <c r="D21"/>
  <c r="E21"/>
  <c r="D22"/>
  <c r="V7" i="33"/>
  <c r="N7"/>
  <c r="V8"/>
  <c r="N8"/>
  <c r="V9"/>
  <c r="N9"/>
  <c r="V10"/>
  <c r="N10"/>
  <c r="V11"/>
  <c r="N11"/>
  <c r="V12"/>
  <c r="V13"/>
  <c r="V14"/>
  <c r="N14"/>
  <c r="V15"/>
  <c r="N15"/>
  <c r="V17"/>
  <c r="V6"/>
  <c r="N17"/>
  <c r="E17"/>
  <c r="D17"/>
  <c r="E16"/>
  <c r="D16"/>
  <c r="C22"/>
  <c r="F21"/>
  <c r="E21"/>
  <c r="D21"/>
  <c r="C21"/>
  <c r="F20"/>
  <c r="E20"/>
  <c r="C20"/>
  <c r="F19"/>
  <c r="E19"/>
  <c r="C19"/>
  <c r="K18"/>
  <c r="C18"/>
  <c r="L17"/>
  <c r="AA17"/>
  <c r="L16"/>
  <c r="AA16"/>
  <c r="F16"/>
  <c r="F22"/>
  <c r="L15"/>
  <c r="D15"/>
  <c r="L14"/>
  <c r="AA14"/>
  <c r="AB14"/>
  <c r="D14"/>
  <c r="L13"/>
  <c r="AA13"/>
  <c r="D13"/>
  <c r="L12"/>
  <c r="L21"/>
  <c r="D12"/>
  <c r="L11"/>
  <c r="AA11"/>
  <c r="D11"/>
  <c r="L10"/>
  <c r="AA10"/>
  <c r="AB10"/>
  <c r="D10"/>
  <c r="L9"/>
  <c r="D9"/>
  <c r="L8"/>
  <c r="AA8"/>
  <c r="D8"/>
  <c r="L7"/>
  <c r="AA7"/>
  <c r="D7"/>
  <c r="L6"/>
  <c r="AA6"/>
  <c r="AB6"/>
  <c r="D6"/>
  <c r="H29" i="32"/>
  <c r="I22"/>
  <c r="I21"/>
  <c r="I20"/>
  <c r="I19"/>
  <c r="H14"/>
  <c r="H13"/>
  <c r="H12"/>
  <c r="H11"/>
  <c r="H10"/>
  <c r="G7"/>
  <c r="G8"/>
  <c r="G9"/>
  <c r="D4" i="4"/>
  <c r="F4"/>
  <c r="F20"/>
  <c r="O43" i="20"/>
  <c r="E88" i="37"/>
  <c r="E87"/>
  <c r="P74"/>
  <c r="G88"/>
  <c r="G87"/>
  <c r="F88"/>
  <c r="F87"/>
  <c r="I88"/>
  <c r="I87"/>
  <c r="D20" i="4"/>
  <c r="N86" i="37"/>
  <c r="AD19" i="23"/>
  <c r="M88" i="37"/>
  <c r="M87"/>
  <c r="J468" i="36"/>
  <c r="J474"/>
  <c r="J480"/>
  <c r="J481"/>
  <c r="R96" i="20"/>
  <c r="P5" i="37"/>
  <c r="P79"/>
  <c r="O17" i="38"/>
  <c r="O34"/>
  <c r="G51" i="35"/>
  <c r="P43" i="20"/>
  <c r="R43"/>
  <c r="Q51"/>
  <c r="I96"/>
  <c r="Q96"/>
  <c r="O51"/>
  <c r="D96"/>
  <c r="O96"/>
  <c r="P51"/>
  <c r="F96"/>
  <c r="P96"/>
  <c r="Q43"/>
  <c r="S49"/>
  <c r="S50"/>
  <c r="R51"/>
  <c r="S40"/>
  <c r="S39"/>
  <c r="D6" i="34"/>
  <c r="E6"/>
  <c r="D7"/>
  <c r="E7"/>
  <c r="E57" i="33"/>
  <c r="L20"/>
  <c r="L22"/>
  <c r="F57"/>
  <c r="O12" i="32"/>
  <c r="L12"/>
  <c r="O11"/>
  <c r="C17"/>
  <c r="C22"/>
  <c r="M12"/>
  <c r="J12"/>
  <c r="M11"/>
  <c r="J11"/>
  <c r="O29"/>
  <c r="L29"/>
  <c r="AB16" i="33"/>
  <c r="S16"/>
  <c r="T16"/>
  <c r="S7"/>
  <c r="T7"/>
  <c r="AB7"/>
  <c r="AB11"/>
  <c r="S11"/>
  <c r="T11"/>
  <c r="AB13"/>
  <c r="S13"/>
  <c r="T13"/>
  <c r="S17"/>
  <c r="AB17"/>
  <c r="AA18"/>
  <c r="AB8"/>
  <c r="S8"/>
  <c r="T8"/>
  <c r="AA15"/>
  <c r="AA12"/>
  <c r="V16"/>
  <c r="N16"/>
  <c r="D20"/>
  <c r="AA9"/>
  <c r="C57"/>
  <c r="O13" i="32"/>
  <c r="M13"/>
  <c r="J13"/>
  <c r="L11"/>
  <c r="O14"/>
  <c r="M14"/>
  <c r="J14"/>
  <c r="O10"/>
  <c r="M10"/>
  <c r="J10"/>
  <c r="H30"/>
  <c r="D46"/>
  <c r="F31"/>
  <c r="G34"/>
  <c r="C8" i="34"/>
  <c r="M5" i="33"/>
  <c r="X6"/>
  <c r="H8" i="34"/>
  <c r="C31"/>
  <c r="C46" i="32"/>
  <c r="E23"/>
  <c r="D23"/>
  <c r="C23"/>
  <c r="F20"/>
  <c r="F19"/>
  <c r="H7"/>
  <c r="H8"/>
  <c r="I23"/>
  <c r="V21" i="33"/>
  <c r="S14"/>
  <c r="T14"/>
  <c r="S10"/>
  <c r="T10"/>
  <c r="S6"/>
  <c r="T6"/>
  <c r="N12"/>
  <c r="N18"/>
  <c r="V19"/>
  <c r="V22"/>
  <c r="N13"/>
  <c r="V20"/>
  <c r="N20"/>
  <c r="V18"/>
  <c r="N6"/>
  <c r="E22"/>
  <c r="E23"/>
  <c r="E18"/>
  <c r="D18"/>
  <c r="C23"/>
  <c r="L19"/>
  <c r="H6"/>
  <c r="W7"/>
  <c r="F23"/>
  <c r="I8"/>
  <c r="J7"/>
  <c r="J6"/>
  <c r="O6"/>
  <c r="O7"/>
  <c r="O8"/>
  <c r="G7"/>
  <c r="F18"/>
  <c r="D19"/>
  <c r="N19"/>
  <c r="AB19"/>
  <c r="Q6"/>
  <c r="R6"/>
  <c r="L18"/>
  <c r="G15" i="32"/>
  <c r="H15"/>
  <c r="H9"/>
  <c r="H21"/>
  <c r="H6"/>
  <c r="F22"/>
  <c r="F21"/>
  <c r="AV392" i="21"/>
  <c r="AV414"/>
  <c r="AV387"/>
  <c r="AV382"/>
  <c r="AV377"/>
  <c r="AV374"/>
  <c r="AV364"/>
  <c r="AV359"/>
  <c r="AV353"/>
  <c r="AV348"/>
  <c r="AV345"/>
  <c r="AV337"/>
  <c r="AV330"/>
  <c r="AV409"/>
  <c r="AV325"/>
  <c r="AV318"/>
  <c r="AV310"/>
  <c r="AV303"/>
  <c r="AV296"/>
  <c r="AV284"/>
  <c r="AV273"/>
  <c r="AV267"/>
  <c r="AV260"/>
  <c r="AV254"/>
  <c r="AV245"/>
  <c r="AV230"/>
  <c r="AV226"/>
  <c r="AV218"/>
  <c r="AV212"/>
  <c r="AV205"/>
  <c r="AV196"/>
  <c r="AV190"/>
  <c r="AV183"/>
  <c r="AV174"/>
  <c r="AV168"/>
  <c r="AV161"/>
  <c r="AV153"/>
  <c r="AV148"/>
  <c r="AV141"/>
  <c r="AV129"/>
  <c r="AV118"/>
  <c r="AV105"/>
  <c r="AV84"/>
  <c r="AV399"/>
  <c r="AV40"/>
  <c r="AV32"/>
  <c r="AV397"/>
  <c r="AV27"/>
  <c r="AV396"/>
  <c r="AV18"/>
  <c r="AV395"/>
  <c r="T425"/>
  <c r="T426"/>
  <c r="T427"/>
  <c r="T428"/>
  <c r="S426"/>
  <c r="S428"/>
  <c r="S427"/>
  <c r="S425"/>
  <c r="AT305"/>
  <c r="AU305"/>
  <c r="G33" i="30"/>
  <c r="H33"/>
  <c r="L33"/>
  <c r="J193" i="29"/>
  <c r="G36" i="30"/>
  <c r="L36"/>
  <c r="G25"/>
  <c r="L25"/>
  <c r="I18"/>
  <c r="K18"/>
  <c r="E23"/>
  <c r="E22"/>
  <c r="E21"/>
  <c r="C423" i="21"/>
  <c r="C422"/>
  <c r="C421"/>
  <c r="C420"/>
  <c r="C419"/>
  <c r="C418"/>
  <c r="C417"/>
  <c r="J185" i="29"/>
  <c r="K37" i="30"/>
  <c r="C414" i="21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AS370"/>
  <c r="AR370"/>
  <c r="AQ370"/>
  <c r="AJ370"/>
  <c r="AI370"/>
  <c r="AG370"/>
  <c r="AE370"/>
  <c r="P370"/>
  <c r="R370"/>
  <c r="AK370"/>
  <c r="AT370"/>
  <c r="Q360"/>
  <c r="S348"/>
  <c r="T348"/>
  <c r="Z348"/>
  <c r="G348"/>
  <c r="AP347"/>
  <c r="AP348"/>
  <c r="AO347"/>
  <c r="AO348"/>
  <c r="AJ347"/>
  <c r="AI347"/>
  <c r="AI348"/>
  <c r="AG347"/>
  <c r="AG348"/>
  <c r="R347"/>
  <c r="AK347"/>
  <c r="AK348"/>
  <c r="AS307"/>
  <c r="AR307"/>
  <c r="AQ307"/>
  <c r="AP307"/>
  <c r="AO307"/>
  <c r="AL307"/>
  <c r="AU307"/>
  <c r="AK307"/>
  <c r="AT307"/>
  <c r="AJ307"/>
  <c r="AI307"/>
  <c r="U274"/>
  <c r="V274"/>
  <c r="X274"/>
  <c r="Y274"/>
  <c r="AS215"/>
  <c r="AR215"/>
  <c r="AQ215"/>
  <c r="AP215"/>
  <c r="AO215"/>
  <c r="AL215"/>
  <c r="AU215"/>
  <c r="AK215"/>
  <c r="AT215"/>
  <c r="AJ215"/>
  <c r="AI215"/>
  <c r="R216"/>
  <c r="Z216"/>
  <c r="AE216"/>
  <c r="AG216"/>
  <c r="AI216"/>
  <c r="AJ216"/>
  <c r="AR216"/>
  <c r="AS216"/>
  <c r="AS193"/>
  <c r="AR193"/>
  <c r="AQ193"/>
  <c r="AP193"/>
  <c r="AO193"/>
  <c r="AL193"/>
  <c r="AK193"/>
  <c r="AJ193"/>
  <c r="AI193"/>
  <c r="AS171"/>
  <c r="AR171"/>
  <c r="AQ171"/>
  <c r="AP171"/>
  <c r="AO171"/>
  <c r="AL171"/>
  <c r="AK171"/>
  <c r="AJ171"/>
  <c r="AI171"/>
  <c r="AS151"/>
  <c r="AR151"/>
  <c r="AQ151"/>
  <c r="AP151"/>
  <c r="AO151"/>
  <c r="AL151"/>
  <c r="AU151"/>
  <c r="AK151"/>
  <c r="AT151"/>
  <c r="AJ151"/>
  <c r="AI151"/>
  <c r="I16" i="35"/>
  <c r="G56"/>
  <c r="O86" i="37"/>
  <c r="AE19" i="23"/>
  <c r="N87" i="37"/>
  <c r="N88"/>
  <c r="J482" i="36"/>
  <c r="T11" i="23"/>
  <c r="T10"/>
  <c r="S43" i="20"/>
  <c r="S96"/>
  <c r="G3" i="35"/>
  <c r="S51" i="20"/>
  <c r="L23" i="33"/>
  <c r="L10" i="32"/>
  <c r="K10"/>
  <c r="K12"/>
  <c r="J21"/>
  <c r="O6"/>
  <c r="C10" i="24"/>
  <c r="K11" i="32"/>
  <c r="O30"/>
  <c r="C6" i="24"/>
  <c r="M29" i="32"/>
  <c r="C11" i="24"/>
  <c r="T17" i="33"/>
  <c r="S18"/>
  <c r="AB15"/>
  <c r="S15"/>
  <c r="T15"/>
  <c r="T22"/>
  <c r="S9"/>
  <c r="T9"/>
  <c r="T20"/>
  <c r="AB9"/>
  <c r="AB12"/>
  <c r="S12"/>
  <c r="T12"/>
  <c r="T21"/>
  <c r="O15" i="32"/>
  <c r="O7"/>
  <c r="M6"/>
  <c r="J6"/>
  <c r="O9"/>
  <c r="O8"/>
  <c r="M21"/>
  <c r="L13"/>
  <c r="K13"/>
  <c r="L14"/>
  <c r="K14"/>
  <c r="H31"/>
  <c r="F32"/>
  <c r="F42"/>
  <c r="G35"/>
  <c r="I10" i="34"/>
  <c r="J23"/>
  <c r="K23"/>
  <c r="J22"/>
  <c r="K22"/>
  <c r="H10"/>
  <c r="H24" i="32"/>
  <c r="E8" i="34"/>
  <c r="D8"/>
  <c r="F23" i="32"/>
  <c r="N21" i="33"/>
  <c r="T19"/>
  <c r="V23"/>
  <c r="M6"/>
  <c r="D22"/>
  <c r="D23"/>
  <c r="P6"/>
  <c r="P7"/>
  <c r="H7"/>
  <c r="G8"/>
  <c r="J8"/>
  <c r="J19"/>
  <c r="I9"/>
  <c r="Q7"/>
  <c r="Y6"/>
  <c r="Z6"/>
  <c r="U6"/>
  <c r="C4" i="24"/>
  <c r="X7" i="33"/>
  <c r="W8"/>
  <c r="O9"/>
  <c r="P8"/>
  <c r="AB20"/>
  <c r="N22"/>
  <c r="O21" i="32"/>
  <c r="H20"/>
  <c r="O19"/>
  <c r="G16"/>
  <c r="H19"/>
  <c r="AV378" i="21"/>
  <c r="AV412"/>
  <c r="AV388"/>
  <c r="AV413"/>
  <c r="AV423"/>
  <c r="AV349"/>
  <c r="AV410"/>
  <c r="AV304"/>
  <c r="AV407"/>
  <c r="AV360"/>
  <c r="AV411"/>
  <c r="AJ348"/>
  <c r="AV326"/>
  <c r="AV331"/>
  <c r="AV420"/>
  <c r="AV274"/>
  <c r="AV406"/>
  <c r="AV231"/>
  <c r="AV405"/>
  <c r="AV213"/>
  <c r="AV404"/>
  <c r="AV191"/>
  <c r="AV403"/>
  <c r="AV149"/>
  <c r="AV401"/>
  <c r="AV169"/>
  <c r="AV402"/>
  <c r="AV417"/>
  <c r="AV119"/>
  <c r="AV398"/>
  <c r="AT347"/>
  <c r="AT348"/>
  <c r="K185" i="29"/>
  <c r="AM370" i="21"/>
  <c r="Z370"/>
  <c r="AB370"/>
  <c r="AL370"/>
  <c r="AU370"/>
  <c r="R348"/>
  <c r="AH347"/>
  <c r="AH348"/>
  <c r="AM347"/>
  <c r="AM348"/>
  <c r="W347"/>
  <c r="AL347"/>
  <c r="AL348"/>
  <c r="AN307"/>
  <c r="AW307"/>
  <c r="AM307"/>
  <c r="AK216"/>
  <c r="AW215"/>
  <c r="AL216"/>
  <c r="AH216"/>
  <c r="AN215"/>
  <c r="AM215"/>
  <c r="AP216"/>
  <c r="AO216"/>
  <c r="AM193"/>
  <c r="AN193"/>
  <c r="AN171"/>
  <c r="AM171"/>
  <c r="AM151"/>
  <c r="AN151"/>
  <c r="AW151"/>
  <c r="K109" i="29"/>
  <c r="K52"/>
  <c r="J73"/>
  <c r="J72"/>
  <c r="I73"/>
  <c r="I72"/>
  <c r="I71"/>
  <c r="J70"/>
  <c r="J69"/>
  <c r="J68"/>
  <c r="I69"/>
  <c r="I70"/>
  <c r="I68"/>
  <c r="I67"/>
  <c r="J66"/>
  <c r="J65"/>
  <c r="J62"/>
  <c r="J64"/>
  <c r="J61"/>
  <c r="I66"/>
  <c r="I62"/>
  <c r="I63"/>
  <c r="I64"/>
  <c r="I65"/>
  <c r="I61"/>
  <c r="I60"/>
  <c r="J59"/>
  <c r="J58"/>
  <c r="I59"/>
  <c r="I58"/>
  <c r="I57"/>
  <c r="I56"/>
  <c r="I55"/>
  <c r="J56"/>
  <c r="J54"/>
  <c r="J52"/>
  <c r="I53"/>
  <c r="I54"/>
  <c r="I52"/>
  <c r="L50"/>
  <c r="M50"/>
  <c r="I45"/>
  <c r="I46"/>
  <c r="I47"/>
  <c r="I48"/>
  <c r="I49"/>
  <c r="J45"/>
  <c r="J46"/>
  <c r="J47"/>
  <c r="J48"/>
  <c r="J49"/>
  <c r="J44"/>
  <c r="I44"/>
  <c r="J40"/>
  <c r="J21" i="30"/>
  <c r="J41" i="29"/>
  <c r="J39"/>
  <c r="I40"/>
  <c r="I41"/>
  <c r="I39"/>
  <c r="N31"/>
  <c r="N30"/>
  <c r="J31"/>
  <c r="J32"/>
  <c r="J33"/>
  <c r="J34"/>
  <c r="J35"/>
  <c r="J36"/>
  <c r="J30"/>
  <c r="I31"/>
  <c r="I32"/>
  <c r="I33"/>
  <c r="I34"/>
  <c r="I35"/>
  <c r="I36"/>
  <c r="I30"/>
  <c r="M42"/>
  <c r="L37"/>
  <c r="M37"/>
  <c r="N78"/>
  <c r="N79"/>
  <c r="N80"/>
  <c r="N83"/>
  <c r="N85"/>
  <c r="N86"/>
  <c r="N87"/>
  <c r="N88"/>
  <c r="N89"/>
  <c r="N90"/>
  <c r="N91"/>
  <c r="N92"/>
  <c r="N94"/>
  <c r="N77"/>
  <c r="J78"/>
  <c r="J79"/>
  <c r="J80"/>
  <c r="J81"/>
  <c r="J82"/>
  <c r="J83"/>
  <c r="J84"/>
  <c r="J85"/>
  <c r="J86"/>
  <c r="J87"/>
  <c r="J88"/>
  <c r="J89"/>
  <c r="J90"/>
  <c r="J91"/>
  <c r="J92"/>
  <c r="J93"/>
  <c r="J94"/>
  <c r="J77"/>
  <c r="I78"/>
  <c r="I79"/>
  <c r="I80"/>
  <c r="I81"/>
  <c r="I82"/>
  <c r="I83"/>
  <c r="I84"/>
  <c r="I85"/>
  <c r="I86"/>
  <c r="I87"/>
  <c r="I88"/>
  <c r="I89"/>
  <c r="I90"/>
  <c r="I91"/>
  <c r="I92"/>
  <c r="I93"/>
  <c r="I94"/>
  <c r="I77"/>
  <c r="G105" i="21"/>
  <c r="AS99"/>
  <c r="AR99"/>
  <c r="AQ99"/>
  <c r="AJ99"/>
  <c r="AI99"/>
  <c r="AG99"/>
  <c r="AE99"/>
  <c r="T84"/>
  <c r="T399"/>
  <c r="G84"/>
  <c r="AS62"/>
  <c r="AR62"/>
  <c r="AP62"/>
  <c r="AO62"/>
  <c r="AJ62"/>
  <c r="AI62"/>
  <c r="AG62"/>
  <c r="R62"/>
  <c r="AK62"/>
  <c r="AT62"/>
  <c r="AS60"/>
  <c r="AR60"/>
  <c r="AP60"/>
  <c r="AO60"/>
  <c r="AJ60"/>
  <c r="AI60"/>
  <c r="AG60"/>
  <c r="R60"/>
  <c r="AK60"/>
  <c r="AT60"/>
  <c r="AS61"/>
  <c r="AP61"/>
  <c r="AJ61"/>
  <c r="S61"/>
  <c r="R61"/>
  <c r="K63" i="29"/>
  <c r="AS59" i="21"/>
  <c r="AR59"/>
  <c r="AP59"/>
  <c r="AO59"/>
  <c r="AJ59"/>
  <c r="AI59"/>
  <c r="AG59"/>
  <c r="R59"/>
  <c r="AK59"/>
  <c r="AT59"/>
  <c r="AS57"/>
  <c r="AR57"/>
  <c r="AP57"/>
  <c r="AO57"/>
  <c r="AJ57"/>
  <c r="AI57"/>
  <c r="AG57"/>
  <c r="R57"/>
  <c r="AK57"/>
  <c r="AT57"/>
  <c r="AS56"/>
  <c r="AR56"/>
  <c r="AP56"/>
  <c r="AO56"/>
  <c r="AJ56"/>
  <c r="AI56"/>
  <c r="AG56"/>
  <c r="R56"/>
  <c r="AP55"/>
  <c r="AO55"/>
  <c r="AJ55"/>
  <c r="AI55"/>
  <c r="AG55"/>
  <c r="R55"/>
  <c r="AP54"/>
  <c r="AO54"/>
  <c r="AJ54"/>
  <c r="AI54"/>
  <c r="AG54"/>
  <c r="R54"/>
  <c r="S40"/>
  <c r="T40"/>
  <c r="T432"/>
  <c r="G40"/>
  <c r="AS39"/>
  <c r="AR39"/>
  <c r="AP39"/>
  <c r="AO39"/>
  <c r="AJ39"/>
  <c r="AI39"/>
  <c r="AG39"/>
  <c r="R39"/>
  <c r="AK39"/>
  <c r="AT39"/>
  <c r="AS38"/>
  <c r="AR38"/>
  <c r="AP38"/>
  <c r="AO38"/>
  <c r="AJ38"/>
  <c r="AI38"/>
  <c r="AG38"/>
  <c r="R38"/>
  <c r="AK38"/>
  <c r="AT38"/>
  <c r="AS37"/>
  <c r="AR37"/>
  <c r="AP37"/>
  <c r="AO37"/>
  <c r="AJ37"/>
  <c r="AI37"/>
  <c r="AG37"/>
  <c r="R37"/>
  <c r="AK37"/>
  <c r="AT37"/>
  <c r="AS36"/>
  <c r="AR36"/>
  <c r="AP36"/>
  <c r="AO36"/>
  <c r="AJ36"/>
  <c r="AI36"/>
  <c r="AG36"/>
  <c r="R36"/>
  <c r="K46" i="29"/>
  <c r="AS35" i="21"/>
  <c r="AR35"/>
  <c r="AP35"/>
  <c r="AO35"/>
  <c r="AJ35"/>
  <c r="AI35"/>
  <c r="AG35"/>
  <c r="R35"/>
  <c r="K45" i="29"/>
  <c r="AS34" i="21"/>
  <c r="AR34"/>
  <c r="AP34"/>
  <c r="AO34"/>
  <c r="AJ34"/>
  <c r="AI34"/>
  <c r="AG34"/>
  <c r="R34"/>
  <c r="AL34"/>
  <c r="S32"/>
  <c r="T32"/>
  <c r="G32"/>
  <c r="AS31"/>
  <c r="AR31"/>
  <c r="AP31"/>
  <c r="AO31"/>
  <c r="AJ31"/>
  <c r="AI31"/>
  <c r="AG31"/>
  <c r="R31"/>
  <c r="AK31"/>
  <c r="AT31"/>
  <c r="AS29"/>
  <c r="AR29"/>
  <c r="AP29"/>
  <c r="AO29"/>
  <c r="AJ29"/>
  <c r="AI29"/>
  <c r="AG29"/>
  <c r="R29"/>
  <c r="AK29"/>
  <c r="AS30"/>
  <c r="AR30"/>
  <c r="AJ30"/>
  <c r="AI30"/>
  <c r="AH30"/>
  <c r="AG30"/>
  <c r="AE30"/>
  <c r="R30"/>
  <c r="AK30"/>
  <c r="S27"/>
  <c r="S396"/>
  <c r="T27"/>
  <c r="T396"/>
  <c r="AS26"/>
  <c r="AR26"/>
  <c r="AP26"/>
  <c r="AO26"/>
  <c r="AJ26"/>
  <c r="AI26"/>
  <c r="AG26"/>
  <c r="R26"/>
  <c r="AK26"/>
  <c r="AS83"/>
  <c r="AR83"/>
  <c r="AP83"/>
  <c r="AO83"/>
  <c r="AJ83"/>
  <c r="AI83"/>
  <c r="AG83"/>
  <c r="R83"/>
  <c r="AK83"/>
  <c r="AT83"/>
  <c r="AS82"/>
  <c r="AR82"/>
  <c r="AP82"/>
  <c r="AO82"/>
  <c r="AJ82"/>
  <c r="AI82"/>
  <c r="AG82"/>
  <c r="R82"/>
  <c r="AK82"/>
  <c r="AT82"/>
  <c r="AS81"/>
  <c r="AR81"/>
  <c r="AP81"/>
  <c r="AO81"/>
  <c r="AJ81"/>
  <c r="AI81"/>
  <c r="AG81"/>
  <c r="R81"/>
  <c r="AK81"/>
  <c r="AT81"/>
  <c r="AS80"/>
  <c r="AR80"/>
  <c r="AP80"/>
  <c r="AO80"/>
  <c r="AJ80"/>
  <c r="AI80"/>
  <c r="AG80"/>
  <c r="R80"/>
  <c r="AK80"/>
  <c r="AT80"/>
  <c r="AS79"/>
  <c r="AR79"/>
  <c r="AP79"/>
  <c r="AO79"/>
  <c r="AJ79"/>
  <c r="AI79"/>
  <c r="AG79"/>
  <c r="R79"/>
  <c r="AK79"/>
  <c r="AT79"/>
  <c r="AS78"/>
  <c r="AR78"/>
  <c r="AP78"/>
  <c r="AO78"/>
  <c r="AJ78"/>
  <c r="AI78"/>
  <c r="AG78"/>
  <c r="R78"/>
  <c r="AK78"/>
  <c r="AT78"/>
  <c r="AS77"/>
  <c r="AR77"/>
  <c r="AP77"/>
  <c r="AO77"/>
  <c r="AJ77"/>
  <c r="AI77"/>
  <c r="AG77"/>
  <c r="R77"/>
  <c r="AK77"/>
  <c r="AT77"/>
  <c r="AS76"/>
  <c r="AR76"/>
  <c r="AP76"/>
  <c r="AO76"/>
  <c r="AJ76"/>
  <c r="AI76"/>
  <c r="AG76"/>
  <c r="R76"/>
  <c r="AK76"/>
  <c r="AT76"/>
  <c r="AS75"/>
  <c r="AR75"/>
  <c r="AP75"/>
  <c r="AO75"/>
  <c r="AJ75"/>
  <c r="AI75"/>
  <c r="AG75"/>
  <c r="R75"/>
  <c r="AK75"/>
  <c r="AT75"/>
  <c r="AS74"/>
  <c r="AR74"/>
  <c r="AP74"/>
  <c r="AO74"/>
  <c r="AJ74"/>
  <c r="AI74"/>
  <c r="AG74"/>
  <c r="R74"/>
  <c r="AK74"/>
  <c r="AT74"/>
  <c r="AS72"/>
  <c r="AR72"/>
  <c r="AP72"/>
  <c r="AO72"/>
  <c r="AJ72"/>
  <c r="AI72"/>
  <c r="AG72"/>
  <c r="R72"/>
  <c r="AK72"/>
  <c r="AT72"/>
  <c r="AS71"/>
  <c r="AR71"/>
  <c r="AP71"/>
  <c r="AO71"/>
  <c r="AJ71"/>
  <c r="AI71"/>
  <c r="AG71"/>
  <c r="R71"/>
  <c r="AK71"/>
  <c r="AT71"/>
  <c r="AP70"/>
  <c r="AO70"/>
  <c r="AJ70"/>
  <c r="AI70"/>
  <c r="AG70"/>
  <c r="R70"/>
  <c r="AK70"/>
  <c r="AT70"/>
  <c r="AP69"/>
  <c r="AO69"/>
  <c r="AJ69"/>
  <c r="AI69"/>
  <c r="AG69"/>
  <c r="R69"/>
  <c r="AL69"/>
  <c r="AU69"/>
  <c r="AP68"/>
  <c r="AO68"/>
  <c r="AJ68"/>
  <c r="AI68"/>
  <c r="AG68"/>
  <c r="R68"/>
  <c r="AK68"/>
  <c r="AT68"/>
  <c r="AP67"/>
  <c r="AO67"/>
  <c r="AJ67"/>
  <c r="AI67"/>
  <c r="AG67"/>
  <c r="R67"/>
  <c r="AS65"/>
  <c r="AR65"/>
  <c r="AP65"/>
  <c r="AO65"/>
  <c r="AJ65"/>
  <c r="AI65"/>
  <c r="AG65"/>
  <c r="R65"/>
  <c r="AK65"/>
  <c r="AT65"/>
  <c r="AS64"/>
  <c r="AR64"/>
  <c r="AP64"/>
  <c r="AO64"/>
  <c r="AJ64"/>
  <c r="AI64"/>
  <c r="AG64"/>
  <c r="R64"/>
  <c r="AK64"/>
  <c r="AT64"/>
  <c r="AS63"/>
  <c r="AR63"/>
  <c r="AP63"/>
  <c r="AO63"/>
  <c r="AJ63"/>
  <c r="AI63"/>
  <c r="AG63"/>
  <c r="R63"/>
  <c r="AK63"/>
  <c r="AT63"/>
  <c r="AS52"/>
  <c r="AR52"/>
  <c r="AP52"/>
  <c r="AO52"/>
  <c r="AJ52"/>
  <c r="AI52"/>
  <c r="AG52"/>
  <c r="I52"/>
  <c r="R52"/>
  <c r="AS51"/>
  <c r="AR51"/>
  <c r="AP51"/>
  <c r="AO51"/>
  <c r="AJ51"/>
  <c r="AI51"/>
  <c r="AG51"/>
  <c r="I51"/>
  <c r="R51"/>
  <c r="AK51"/>
  <c r="AT51"/>
  <c r="AS50"/>
  <c r="AR50"/>
  <c r="AP50"/>
  <c r="AO50"/>
  <c r="AJ50"/>
  <c r="AI50"/>
  <c r="AG50"/>
  <c r="I50"/>
  <c r="R50"/>
  <c r="AS49"/>
  <c r="AR49"/>
  <c r="AP49"/>
  <c r="AO49"/>
  <c r="AJ49"/>
  <c r="AI49"/>
  <c r="AG49"/>
  <c r="I49"/>
  <c r="R49"/>
  <c r="AS48"/>
  <c r="AR48"/>
  <c r="AP48"/>
  <c r="AO48"/>
  <c r="AJ48"/>
  <c r="AI48"/>
  <c r="AG48"/>
  <c r="I48"/>
  <c r="R48"/>
  <c r="AS47"/>
  <c r="AR47"/>
  <c r="AP47"/>
  <c r="AO47"/>
  <c r="AJ47"/>
  <c r="AI47"/>
  <c r="AG47"/>
  <c r="R47"/>
  <c r="AK47"/>
  <c r="AT47"/>
  <c r="AS45"/>
  <c r="AR45"/>
  <c r="AP45"/>
  <c r="AO45"/>
  <c r="AJ45"/>
  <c r="AI45"/>
  <c r="AG45"/>
  <c r="R45"/>
  <c r="AS44"/>
  <c r="AR44"/>
  <c r="AP44"/>
  <c r="AO44"/>
  <c r="AJ44"/>
  <c r="AI44"/>
  <c r="AG44"/>
  <c r="R44"/>
  <c r="AS42"/>
  <c r="AR42"/>
  <c r="AP42"/>
  <c r="AO42"/>
  <c r="AJ42"/>
  <c r="AI42"/>
  <c r="AG42"/>
  <c r="R42"/>
  <c r="AS25"/>
  <c r="AR25"/>
  <c r="AP25"/>
  <c r="AO25"/>
  <c r="AJ25"/>
  <c r="AI25"/>
  <c r="AG25"/>
  <c r="R25"/>
  <c r="K35" i="29"/>
  <c r="AS24" i="21"/>
  <c r="AR24"/>
  <c r="AP24"/>
  <c r="AO24"/>
  <c r="AJ24"/>
  <c r="AI24"/>
  <c r="AG24"/>
  <c r="R24"/>
  <c r="K34" i="29"/>
  <c r="AS23" i="21"/>
  <c r="AR23"/>
  <c r="AP23"/>
  <c r="AO23"/>
  <c r="AJ23"/>
  <c r="AI23"/>
  <c r="AG23"/>
  <c r="R23"/>
  <c r="K33" i="29"/>
  <c r="AS22" i="21"/>
  <c r="AR22"/>
  <c r="AP22"/>
  <c r="AO22"/>
  <c r="AJ22"/>
  <c r="AI22"/>
  <c r="AG22"/>
  <c r="R22"/>
  <c r="K32" i="29"/>
  <c r="AS21" i="21"/>
  <c r="AR21"/>
  <c r="AQ21"/>
  <c r="AP21"/>
  <c r="AO21"/>
  <c r="AG21"/>
  <c r="AS20"/>
  <c r="AR20"/>
  <c r="AQ20"/>
  <c r="AP20"/>
  <c r="AO20"/>
  <c r="AG20"/>
  <c r="AS19"/>
  <c r="AR19"/>
  <c r="AQ19"/>
  <c r="AP19"/>
  <c r="AO19"/>
  <c r="AL19"/>
  <c r="AU19"/>
  <c r="AK19"/>
  <c r="AT19"/>
  <c r="AJ19"/>
  <c r="AI19"/>
  <c r="AS17"/>
  <c r="AR17"/>
  <c r="AP17"/>
  <c r="AO17"/>
  <c r="AJ17"/>
  <c r="AI17"/>
  <c r="AG17"/>
  <c r="R17"/>
  <c r="AK17"/>
  <c r="M28" i="29"/>
  <c r="N28"/>
  <c r="L25"/>
  <c r="L27"/>
  <c r="J23"/>
  <c r="J24"/>
  <c r="J25"/>
  <c r="J26"/>
  <c r="H19" i="30"/>
  <c r="J27" i="29"/>
  <c r="L19" i="30"/>
  <c r="I23" i="29"/>
  <c r="I24"/>
  <c r="I25"/>
  <c r="I26"/>
  <c r="I27"/>
  <c r="I22"/>
  <c r="S18" i="21"/>
  <c r="T18"/>
  <c r="AS16"/>
  <c r="AR16"/>
  <c r="AQ16"/>
  <c r="AJ16"/>
  <c r="AI16"/>
  <c r="AG16"/>
  <c r="AE16"/>
  <c r="N16"/>
  <c r="I16"/>
  <c r="DO19" i="27"/>
  <c r="E30" i="4"/>
  <c r="F30"/>
  <c r="G30"/>
  <c r="E28"/>
  <c r="F28"/>
  <c r="G28"/>
  <c r="E27"/>
  <c r="E29"/>
  <c r="F29"/>
  <c r="G29"/>
  <c r="F11"/>
  <c r="F10"/>
  <c r="F8"/>
  <c r="O88" i="37"/>
  <c r="P88"/>
  <c r="O87"/>
  <c r="P86"/>
  <c r="P87"/>
  <c r="F27" i="4"/>
  <c r="E18"/>
  <c r="G4" i="35"/>
  <c r="G5"/>
  <c r="G6"/>
  <c r="G7"/>
  <c r="G8"/>
  <c r="G9"/>
  <c r="G10"/>
  <c r="G11"/>
  <c r="G12"/>
  <c r="G13"/>
  <c r="G14"/>
  <c r="T18" i="23"/>
  <c r="T18" i="33"/>
  <c r="L21" i="32"/>
  <c r="M8"/>
  <c r="J8"/>
  <c r="J19"/>
  <c r="E10" i="24"/>
  <c r="M7" i="32"/>
  <c r="J7"/>
  <c r="D10" i="24"/>
  <c r="M15" i="32"/>
  <c r="J15"/>
  <c r="L10" i="24"/>
  <c r="M9" i="32"/>
  <c r="J9"/>
  <c r="J20"/>
  <c r="F10" i="24"/>
  <c r="P10"/>
  <c r="D11"/>
  <c r="M30" i="32"/>
  <c r="J30"/>
  <c r="H42"/>
  <c r="O31"/>
  <c r="L31"/>
  <c r="L30"/>
  <c r="J29"/>
  <c r="C16" i="24"/>
  <c r="T23" i="33"/>
  <c r="L6" i="32"/>
  <c r="L15"/>
  <c r="L8"/>
  <c r="L9"/>
  <c r="L7"/>
  <c r="F33"/>
  <c r="H32"/>
  <c r="G36"/>
  <c r="J24" i="34"/>
  <c r="H12"/>
  <c r="N23" i="33"/>
  <c r="V34"/>
  <c r="X8"/>
  <c r="W9"/>
  <c r="Q8"/>
  <c r="R7"/>
  <c r="G9"/>
  <c r="H8"/>
  <c r="M8"/>
  <c r="AC6"/>
  <c r="Y7"/>
  <c r="Z7"/>
  <c r="J9"/>
  <c r="I10"/>
  <c r="P19"/>
  <c r="P9"/>
  <c r="O10"/>
  <c r="M7"/>
  <c r="G17" i="32"/>
  <c r="H16"/>
  <c r="AO40" i="21"/>
  <c r="AO398"/>
  <c r="DO65" i="27"/>
  <c r="DO66"/>
  <c r="AJ40" i="21"/>
  <c r="AJ398"/>
  <c r="AP40"/>
  <c r="AP398"/>
  <c r="AG40"/>
  <c r="AG398"/>
  <c r="AS40"/>
  <c r="AS398"/>
  <c r="AI40"/>
  <c r="AI398"/>
  <c r="AR40"/>
  <c r="AR398"/>
  <c r="AV422"/>
  <c r="AV393"/>
  <c r="AV408"/>
  <c r="AV421"/>
  <c r="AU216"/>
  <c r="AA216"/>
  <c r="AQ216"/>
  <c r="AT216"/>
  <c r="AV419"/>
  <c r="AG27"/>
  <c r="AG396"/>
  <c r="AR27"/>
  <c r="AR396"/>
  <c r="AJ84"/>
  <c r="AJ399"/>
  <c r="AS27"/>
  <c r="AS396"/>
  <c r="AP84"/>
  <c r="AP399"/>
  <c r="AJ32"/>
  <c r="AJ397"/>
  <c r="AU34"/>
  <c r="AG32"/>
  <c r="AG397"/>
  <c r="AT29"/>
  <c r="AK32"/>
  <c r="AK397"/>
  <c r="AS32"/>
  <c r="AS397"/>
  <c r="AI32"/>
  <c r="AI397"/>
  <c r="AR32"/>
  <c r="AR397"/>
  <c r="AP27"/>
  <c r="AP396"/>
  <c r="AO27"/>
  <c r="AO396"/>
  <c r="AT30"/>
  <c r="AT17"/>
  <c r="S432"/>
  <c r="AA30"/>
  <c r="N40" i="29"/>
  <c r="T397" i="21"/>
  <c r="S397"/>
  <c r="S398"/>
  <c r="T398"/>
  <c r="AT26"/>
  <c r="AV418"/>
  <c r="AV400"/>
  <c r="AU347"/>
  <c r="AU348"/>
  <c r="J18" i="30"/>
  <c r="H23"/>
  <c r="L22"/>
  <c r="F22"/>
  <c r="L21"/>
  <c r="F21"/>
  <c r="H20"/>
  <c r="L20"/>
  <c r="K59" i="29"/>
  <c r="T395" i="21"/>
  <c r="T417"/>
  <c r="S395"/>
  <c r="AN216"/>
  <c r="AF370"/>
  <c r="AC370"/>
  <c r="AD370"/>
  <c r="AO61"/>
  <c r="AO84"/>
  <c r="AO399"/>
  <c r="W348"/>
  <c r="W349"/>
  <c r="M185" i="29"/>
  <c r="M186"/>
  <c r="K54"/>
  <c r="AW370" i="21"/>
  <c r="AN370"/>
  <c r="AO370"/>
  <c r="AP370"/>
  <c r="AA347"/>
  <c r="N185" i="29"/>
  <c r="AN347" i="21"/>
  <c r="AN348"/>
  <c r="AS347"/>
  <c r="AS348"/>
  <c r="AR347"/>
  <c r="AR348"/>
  <c r="AM216"/>
  <c r="K27" i="29"/>
  <c r="K58"/>
  <c r="K68"/>
  <c r="K40"/>
  <c r="K47"/>
  <c r="K56"/>
  <c r="K62"/>
  <c r="K41"/>
  <c r="K48"/>
  <c r="K73"/>
  <c r="K39"/>
  <c r="K49"/>
  <c r="K64"/>
  <c r="K66"/>
  <c r="K70"/>
  <c r="K72"/>
  <c r="R84" i="21"/>
  <c r="K36" i="29"/>
  <c r="K44"/>
  <c r="L56"/>
  <c r="L74"/>
  <c r="J63"/>
  <c r="J74"/>
  <c r="K61"/>
  <c r="K65"/>
  <c r="K69"/>
  <c r="J50"/>
  <c r="C22" i="30"/>
  <c r="J37" i="29"/>
  <c r="C20" i="30"/>
  <c r="J42" i="29"/>
  <c r="C21" i="30"/>
  <c r="S84" i="21"/>
  <c r="S399"/>
  <c r="AK61"/>
  <c r="AT61"/>
  <c r="AH62"/>
  <c r="AA62"/>
  <c r="AB62"/>
  <c r="O64" i="29"/>
  <c r="P64"/>
  <c r="AM62" i="21"/>
  <c r="AL62"/>
  <c r="AU62"/>
  <c r="AH60"/>
  <c r="AA60"/>
  <c r="AM60"/>
  <c r="AL60"/>
  <c r="AU60"/>
  <c r="AI61"/>
  <c r="AI84"/>
  <c r="AI399"/>
  <c r="AR61"/>
  <c r="AL61"/>
  <c r="AU61"/>
  <c r="AG61"/>
  <c r="AH61"/>
  <c r="AA61"/>
  <c r="AH54"/>
  <c r="AA54"/>
  <c r="AH56"/>
  <c r="AA56"/>
  <c r="AM59"/>
  <c r="AH59"/>
  <c r="AA59"/>
  <c r="AL59"/>
  <c r="AU59"/>
  <c r="AH55"/>
  <c r="AA55"/>
  <c r="AQ55"/>
  <c r="AH57"/>
  <c r="AA57"/>
  <c r="AQ57"/>
  <c r="AM57"/>
  <c r="W54"/>
  <c r="AL54"/>
  <c r="AU54"/>
  <c r="W55"/>
  <c r="AL55"/>
  <c r="AU55"/>
  <c r="AK54"/>
  <c r="AT54"/>
  <c r="AK55"/>
  <c r="AT55"/>
  <c r="AL56"/>
  <c r="AU56"/>
  <c r="AK56"/>
  <c r="AT56"/>
  <c r="AL57"/>
  <c r="AU57"/>
  <c r="R16"/>
  <c r="K26" i="29"/>
  <c r="AH37" i="21"/>
  <c r="AA37"/>
  <c r="AB37"/>
  <c r="O47" i="29"/>
  <c r="P47"/>
  <c r="AH38" i="21"/>
  <c r="AA38"/>
  <c r="AH34"/>
  <c r="AH39"/>
  <c r="AA39"/>
  <c r="AK34"/>
  <c r="R40"/>
  <c r="AH35"/>
  <c r="AA35"/>
  <c r="AK35"/>
  <c r="AM39"/>
  <c r="AL39"/>
  <c r="AU39"/>
  <c r="AM38"/>
  <c r="AL38"/>
  <c r="AU38"/>
  <c r="AM37"/>
  <c r="AL35"/>
  <c r="AU35"/>
  <c r="AH36"/>
  <c r="AA36"/>
  <c r="AL36"/>
  <c r="AU36"/>
  <c r="AK36"/>
  <c r="AT36"/>
  <c r="AL37"/>
  <c r="AU37"/>
  <c r="AN34"/>
  <c r="AH52"/>
  <c r="AA52"/>
  <c r="AQ52"/>
  <c r="AH63"/>
  <c r="AA63"/>
  <c r="AB63"/>
  <c r="AH64"/>
  <c r="AA64"/>
  <c r="AQ64"/>
  <c r="AH68"/>
  <c r="AA68"/>
  <c r="AQ68"/>
  <c r="W70"/>
  <c r="AS70"/>
  <c r="AH31"/>
  <c r="AA31"/>
  <c r="AB31"/>
  <c r="O41" i="29"/>
  <c r="P41"/>
  <c r="R32" i="21"/>
  <c r="AM31"/>
  <c r="AL31"/>
  <c r="AU31"/>
  <c r="AM29"/>
  <c r="AH29"/>
  <c r="AL29"/>
  <c r="AM30"/>
  <c r="Z30"/>
  <c r="AL30"/>
  <c r="AM26"/>
  <c r="AN19"/>
  <c r="AH26"/>
  <c r="AL26"/>
  <c r="AH48"/>
  <c r="AA48"/>
  <c r="AQ48"/>
  <c r="AH49"/>
  <c r="AA49"/>
  <c r="AQ49"/>
  <c r="AL70"/>
  <c r="AU70"/>
  <c r="AW19"/>
  <c r="AH17"/>
  <c r="AH18"/>
  <c r="AM19"/>
  <c r="AH22"/>
  <c r="AH23"/>
  <c r="AA23"/>
  <c r="AH45"/>
  <c r="AA45"/>
  <c r="AQ45"/>
  <c r="AH67"/>
  <c r="AA67"/>
  <c r="AH70"/>
  <c r="AA70"/>
  <c r="AQ70"/>
  <c r="AM47"/>
  <c r="AM68"/>
  <c r="AM70"/>
  <c r="AM51"/>
  <c r="AK52"/>
  <c r="AT52"/>
  <c r="AL52"/>
  <c r="AM65"/>
  <c r="AN69"/>
  <c r="AK48"/>
  <c r="AT48"/>
  <c r="AL48"/>
  <c r="AK49"/>
  <c r="AT49"/>
  <c r="AL49"/>
  <c r="AU49"/>
  <c r="AL50"/>
  <c r="AH50"/>
  <c r="AA50"/>
  <c r="AQ50"/>
  <c r="AK50"/>
  <c r="AT50"/>
  <c r="AM71"/>
  <c r="AM72"/>
  <c r="AM74"/>
  <c r="AM75"/>
  <c r="AM76"/>
  <c r="AM77"/>
  <c r="AM78"/>
  <c r="AM79"/>
  <c r="AM80"/>
  <c r="AM81"/>
  <c r="AM82"/>
  <c r="AM83"/>
  <c r="AL22"/>
  <c r="AU22"/>
  <c r="AL23"/>
  <c r="AU23"/>
  <c r="AH24"/>
  <c r="AA24"/>
  <c r="AL24"/>
  <c r="AU24"/>
  <c r="AH25"/>
  <c r="AA25"/>
  <c r="AL25"/>
  <c r="AU25"/>
  <c r="AH42"/>
  <c r="AL42"/>
  <c r="AH44"/>
  <c r="AA44"/>
  <c r="AL44"/>
  <c r="AU44"/>
  <c r="AL45"/>
  <c r="AU45"/>
  <c r="AM63"/>
  <c r="AM64"/>
  <c r="W68"/>
  <c r="AL68"/>
  <c r="AU68"/>
  <c r="AK69"/>
  <c r="AT69"/>
  <c r="AK22"/>
  <c r="AT22"/>
  <c r="AK23"/>
  <c r="AT23"/>
  <c r="AK24"/>
  <c r="AT24"/>
  <c r="AK25"/>
  <c r="AT25"/>
  <c r="AK42"/>
  <c r="AK44"/>
  <c r="AT44"/>
  <c r="AK45"/>
  <c r="AT45"/>
  <c r="AL63"/>
  <c r="AU63"/>
  <c r="AL64"/>
  <c r="AU64"/>
  <c r="W67"/>
  <c r="AL67"/>
  <c r="AU67"/>
  <c r="AH47"/>
  <c r="AA47"/>
  <c r="AL47"/>
  <c r="AU47"/>
  <c r="AH51"/>
  <c r="AA51"/>
  <c r="AQ51"/>
  <c r="AL51"/>
  <c r="AU51"/>
  <c r="AH65"/>
  <c r="AA65"/>
  <c r="AL65"/>
  <c r="AU65"/>
  <c r="AK67"/>
  <c r="AT67"/>
  <c r="AH71"/>
  <c r="AA71"/>
  <c r="AL71"/>
  <c r="AU71"/>
  <c r="AH72"/>
  <c r="AA72"/>
  <c r="AL72"/>
  <c r="AU72"/>
  <c r="AH74"/>
  <c r="AA74"/>
  <c r="AL74"/>
  <c r="AU74"/>
  <c r="AH75"/>
  <c r="AA75"/>
  <c r="AL75"/>
  <c r="AU75"/>
  <c r="AH76"/>
  <c r="AA76"/>
  <c r="AQ76"/>
  <c r="AL76"/>
  <c r="AU76"/>
  <c r="AH77"/>
  <c r="AA77"/>
  <c r="AQ77"/>
  <c r="AL77"/>
  <c r="AU77"/>
  <c r="AH78"/>
  <c r="AA78"/>
  <c r="AQ78"/>
  <c r="AL78"/>
  <c r="AU78"/>
  <c r="AH79"/>
  <c r="AA79"/>
  <c r="AQ79"/>
  <c r="AL79"/>
  <c r="AU79"/>
  <c r="AH80"/>
  <c r="AA80"/>
  <c r="AQ80"/>
  <c r="AL80"/>
  <c r="AU80"/>
  <c r="AH81"/>
  <c r="AA81"/>
  <c r="AQ81"/>
  <c r="AL81"/>
  <c r="AU81"/>
  <c r="AH82"/>
  <c r="AA82"/>
  <c r="AQ82"/>
  <c r="AL82"/>
  <c r="AU82"/>
  <c r="AH83"/>
  <c r="AA83"/>
  <c r="AQ83"/>
  <c r="AL83"/>
  <c r="AU83"/>
  <c r="W69"/>
  <c r="AH69"/>
  <c r="AA69"/>
  <c r="AQ69"/>
  <c r="AM17"/>
  <c r="AL17"/>
  <c r="G27" i="4"/>
  <c r="G18"/>
  <c r="F18"/>
  <c r="O10" i="24"/>
  <c r="G15" i="35"/>
  <c r="I12" i="34"/>
  <c r="O24" i="32"/>
  <c r="K15"/>
  <c r="L5" i="24"/>
  <c r="K8" i="32"/>
  <c r="E5" i="24"/>
  <c r="E15"/>
  <c r="K7" i="32"/>
  <c r="D5" i="24"/>
  <c r="D15"/>
  <c r="K9" i="32"/>
  <c r="F5" i="24"/>
  <c r="K6" i="32"/>
  <c r="C5" i="24"/>
  <c r="M19" i="32"/>
  <c r="K29"/>
  <c r="M31"/>
  <c r="E11" i="24"/>
  <c r="O11"/>
  <c r="E6"/>
  <c r="O42" i="32"/>
  <c r="O32"/>
  <c r="K30"/>
  <c r="D6" i="24"/>
  <c r="L42" i="32"/>
  <c r="AD6" i="33"/>
  <c r="AE6"/>
  <c r="C9" i="24"/>
  <c r="O16" i="32"/>
  <c r="L19"/>
  <c r="L20"/>
  <c r="F34"/>
  <c r="H33"/>
  <c r="G37"/>
  <c r="H11" i="34"/>
  <c r="K24"/>
  <c r="H19" i="33"/>
  <c r="AB21"/>
  <c r="Y8"/>
  <c r="AC7"/>
  <c r="D9" i="24"/>
  <c r="D8"/>
  <c r="AL22" i="23"/>
  <c r="Q9" i="33"/>
  <c r="R8"/>
  <c r="U8"/>
  <c r="E4" i="24"/>
  <c r="O11" i="33"/>
  <c r="P10"/>
  <c r="U7"/>
  <c r="D4" i="24"/>
  <c r="X19" i="33"/>
  <c r="M19"/>
  <c r="I11"/>
  <c r="J10"/>
  <c r="G10"/>
  <c r="H9"/>
  <c r="W10"/>
  <c r="X9"/>
  <c r="H17" i="32"/>
  <c r="M20"/>
  <c r="O20"/>
  <c r="AV424" i="21"/>
  <c r="AW216"/>
  <c r="AB216"/>
  <c r="AF216"/>
  <c r="AC216"/>
  <c r="AM32"/>
  <c r="AM397"/>
  <c r="AT42"/>
  <c r="AT84"/>
  <c r="AT399"/>
  <c r="AK84"/>
  <c r="AK399"/>
  <c r="AH84"/>
  <c r="AH399"/>
  <c r="AU42"/>
  <c r="AU84"/>
  <c r="AU399"/>
  <c r="AL84"/>
  <c r="AL399"/>
  <c r="AG84"/>
  <c r="AG399"/>
  <c r="AU40"/>
  <c r="AU398"/>
  <c r="AA34"/>
  <c r="N44" i="29"/>
  <c r="AH40" i="21"/>
  <c r="AH398"/>
  <c r="AL40"/>
  <c r="AL398"/>
  <c r="AK40"/>
  <c r="AK398"/>
  <c r="AH32"/>
  <c r="AH397"/>
  <c r="AU29"/>
  <c r="AL32"/>
  <c r="AL397"/>
  <c r="AT32"/>
  <c r="AT397"/>
  <c r="AA22"/>
  <c r="N32" i="29"/>
  <c r="AH27" i="21"/>
  <c r="AH396"/>
  <c r="AH395"/>
  <c r="L40" i="29"/>
  <c r="L42"/>
  <c r="AU17" i="21"/>
  <c r="AW17"/>
  <c r="AU30"/>
  <c r="AW30"/>
  <c r="AA17"/>
  <c r="AA18"/>
  <c r="AQ30"/>
  <c r="AA26"/>
  <c r="AQ26"/>
  <c r="AV415"/>
  <c r="AU26"/>
  <c r="AM35"/>
  <c r="AT35"/>
  <c r="AM34"/>
  <c r="AT34"/>
  <c r="F20" i="30"/>
  <c r="H18"/>
  <c r="B21"/>
  <c r="L23"/>
  <c r="F23"/>
  <c r="B22"/>
  <c r="C23"/>
  <c r="J213" i="29"/>
  <c r="B432" i="21"/>
  <c r="A432"/>
  <c r="S417"/>
  <c r="AL16"/>
  <c r="Z16"/>
  <c r="AK16"/>
  <c r="AW347"/>
  <c r="AW348"/>
  <c r="AQ347"/>
  <c r="AQ348"/>
  <c r="AA348"/>
  <c r="AB347"/>
  <c r="K50" i="29"/>
  <c r="K42"/>
  <c r="AB48" i="21"/>
  <c r="AB39"/>
  <c r="N49" i="29"/>
  <c r="AB64" i="21"/>
  <c r="O65" i="29"/>
  <c r="AQ75" i="21"/>
  <c r="N73" i="29"/>
  <c r="AQ72" i="21"/>
  <c r="N70" i="29"/>
  <c r="AQ44" i="21"/>
  <c r="N54" i="29"/>
  <c r="AQ25" i="21"/>
  <c r="N35" i="29"/>
  <c r="AQ31" i="21"/>
  <c r="N41" i="29"/>
  <c r="AQ35" i="21"/>
  <c r="N45" i="29"/>
  <c r="AQ37" i="21"/>
  <c r="N47" i="29"/>
  <c r="AQ56" i="21"/>
  <c r="N59" i="29"/>
  <c r="AQ67" i="21"/>
  <c r="N68" i="29"/>
  <c r="AQ36" i="21"/>
  <c r="N46" i="29"/>
  <c r="AQ38" i="21"/>
  <c r="N48" i="29"/>
  <c r="AQ62" i="21"/>
  <c r="N64" i="29"/>
  <c r="M68"/>
  <c r="AQ74" i="21"/>
  <c r="N72" i="29"/>
  <c r="AQ71" i="21"/>
  <c r="N69" i="29"/>
  <c r="AQ24" i="21"/>
  <c r="N34" i="29"/>
  <c r="AQ61" i="21"/>
  <c r="N63" i="29"/>
  <c r="AQ60" i="21"/>
  <c r="N62" i="29"/>
  <c r="AQ65" i="21"/>
  <c r="N66" i="29"/>
  <c r="AQ47" i="21"/>
  <c r="N56" i="29"/>
  <c r="AQ23" i="21"/>
  <c r="N33" i="29"/>
  <c r="AQ63" i="21"/>
  <c r="N65" i="29"/>
  <c r="AQ59" i="21"/>
  <c r="N61" i="29"/>
  <c r="AQ54" i="21"/>
  <c r="N58" i="29"/>
  <c r="AA42" i="21"/>
  <c r="AB68"/>
  <c r="AE68"/>
  <c r="AF68"/>
  <c r="AC68"/>
  <c r="AD68"/>
  <c r="AB49"/>
  <c r="AE49"/>
  <c r="AF49"/>
  <c r="AC49"/>
  <c r="AD49"/>
  <c r="AB52"/>
  <c r="AE52"/>
  <c r="AF52"/>
  <c r="AC52"/>
  <c r="AD52"/>
  <c r="AM61"/>
  <c r="AE62"/>
  <c r="AF62"/>
  <c r="AC62"/>
  <c r="AD62"/>
  <c r="Q64" i="29"/>
  <c r="AW62" i="21"/>
  <c r="AN62"/>
  <c r="AB56"/>
  <c r="AB59"/>
  <c r="AB60"/>
  <c r="AW60"/>
  <c r="AN60"/>
  <c r="AN61"/>
  <c r="AN70"/>
  <c r="AB61"/>
  <c r="AW61"/>
  <c r="AB70"/>
  <c r="AE70"/>
  <c r="AF70"/>
  <c r="AC70"/>
  <c r="AD70"/>
  <c r="AR70"/>
  <c r="AB54"/>
  <c r="AW59"/>
  <c r="AN59"/>
  <c r="AW70"/>
  <c r="AB57"/>
  <c r="AE57"/>
  <c r="AF57"/>
  <c r="AC57"/>
  <c r="AD57"/>
  <c r="AB55"/>
  <c r="AM55"/>
  <c r="AN54"/>
  <c r="AB23"/>
  <c r="AR55"/>
  <c r="AS55"/>
  <c r="AM56"/>
  <c r="AN55"/>
  <c r="AN56"/>
  <c r="AW57"/>
  <c r="AN57"/>
  <c r="AM54"/>
  <c r="AR54"/>
  <c r="AS54"/>
  <c r="AB38"/>
  <c r="AB35"/>
  <c r="AQ39"/>
  <c r="AB45"/>
  <c r="AE45"/>
  <c r="AF45"/>
  <c r="AW39"/>
  <c r="AN39"/>
  <c r="AW38"/>
  <c r="AN38"/>
  <c r="AM36"/>
  <c r="AN36"/>
  <c r="AN35"/>
  <c r="AW37"/>
  <c r="AN37"/>
  <c r="AE37"/>
  <c r="AF37"/>
  <c r="AC37"/>
  <c r="AD37"/>
  <c r="Q47" i="29"/>
  <c r="AB36" i="21"/>
  <c r="O46" i="29"/>
  <c r="P46"/>
  <c r="AA29" i="21"/>
  <c r="N39" i="29"/>
  <c r="AB30" i="21"/>
  <c r="Z32"/>
  <c r="AE31"/>
  <c r="AF31"/>
  <c r="AW31"/>
  <c r="AN31"/>
  <c r="AN29"/>
  <c r="AO30"/>
  <c r="AO32"/>
  <c r="AO397"/>
  <c r="AP30"/>
  <c r="AP32"/>
  <c r="AP397"/>
  <c r="AN30"/>
  <c r="AN26"/>
  <c r="AB81"/>
  <c r="AE81"/>
  <c r="AF81"/>
  <c r="AC81"/>
  <c r="AD81"/>
  <c r="AB72"/>
  <c r="AB77"/>
  <c r="AE77"/>
  <c r="AF77"/>
  <c r="AC77"/>
  <c r="AD77"/>
  <c r="AR69"/>
  <c r="AS69"/>
  <c r="AW83"/>
  <c r="AN83"/>
  <c r="AW81"/>
  <c r="AN81"/>
  <c r="AW79"/>
  <c r="AN79"/>
  <c r="AW77"/>
  <c r="AN77"/>
  <c r="AW75"/>
  <c r="AN75"/>
  <c r="AW72"/>
  <c r="AN72"/>
  <c r="AW71"/>
  <c r="AN71"/>
  <c r="AR67"/>
  <c r="AS67"/>
  <c r="AM25"/>
  <c r="AN22"/>
  <c r="AM50"/>
  <c r="AN49"/>
  <c r="AM48"/>
  <c r="AM52"/>
  <c r="AB80"/>
  <c r="AB76"/>
  <c r="AB65"/>
  <c r="O66" i="29"/>
  <c r="P66"/>
  <c r="AB51" i="21"/>
  <c r="AB44"/>
  <c r="AB67"/>
  <c r="AW65"/>
  <c r="AN65"/>
  <c r="AW51"/>
  <c r="AN51"/>
  <c r="AN67"/>
  <c r="AM42"/>
  <c r="AM22"/>
  <c r="AR68"/>
  <c r="AS68"/>
  <c r="AN44"/>
  <c r="AN25"/>
  <c r="AN23"/>
  <c r="AN50"/>
  <c r="AN48"/>
  <c r="AN52"/>
  <c r="AB24"/>
  <c r="O34" i="29"/>
  <c r="P34"/>
  <c r="AW80" i="21"/>
  <c r="AN80"/>
  <c r="AW74"/>
  <c r="AN74"/>
  <c r="AM67"/>
  <c r="AN63"/>
  <c r="AW63"/>
  <c r="AM44"/>
  <c r="AM23"/>
  <c r="AW68"/>
  <c r="AN68"/>
  <c r="AN45"/>
  <c r="AE63"/>
  <c r="AF63"/>
  <c r="AC63"/>
  <c r="AD63"/>
  <c r="AB69"/>
  <c r="AB82"/>
  <c r="AB78"/>
  <c r="AB74"/>
  <c r="O72" i="29"/>
  <c r="AB25" i="21"/>
  <c r="O35" i="29"/>
  <c r="P35"/>
  <c r="AW82" i="21"/>
  <c r="AN82"/>
  <c r="AW78"/>
  <c r="AN78"/>
  <c r="AW76"/>
  <c r="AN76"/>
  <c r="AW47"/>
  <c r="AN47"/>
  <c r="AN64"/>
  <c r="AW64"/>
  <c r="AM45"/>
  <c r="AM24"/>
  <c r="AW69"/>
  <c r="AM69"/>
  <c r="AN42"/>
  <c r="AN24"/>
  <c r="AM49"/>
  <c r="AB83"/>
  <c r="AB79"/>
  <c r="AB75"/>
  <c r="AB71"/>
  <c r="O69" i="29"/>
  <c r="AB47" i="21"/>
  <c r="AB50"/>
  <c r="AN17"/>
  <c r="E15" i="4"/>
  <c r="E6"/>
  <c r="E10"/>
  <c r="E8"/>
  <c r="E7"/>
  <c r="E9"/>
  <c r="E14"/>
  <c r="E11"/>
  <c r="E13"/>
  <c r="E5"/>
  <c r="D15"/>
  <c r="D6"/>
  <c r="D10"/>
  <c r="D8"/>
  <c r="D9"/>
  <c r="D14"/>
  <c r="D11"/>
  <c r="D13"/>
  <c r="D5"/>
  <c r="B75" i="27"/>
  <c r="B77"/>
  <c r="B78"/>
  <c r="B79"/>
  <c r="A42" i="30"/>
  <c r="B39" i="27"/>
  <c r="B74"/>
  <c r="B38"/>
  <c r="B73"/>
  <c r="B37"/>
  <c r="B72"/>
  <c r="B36"/>
  <c r="B71"/>
  <c r="B34"/>
  <c r="B69"/>
  <c r="B35"/>
  <c r="B70"/>
  <c r="B41"/>
  <c r="B76"/>
  <c r="E40" i="30"/>
  <c r="E35"/>
  <c r="E34"/>
  <c r="E39"/>
  <c r="E38"/>
  <c r="E37"/>
  <c r="E27"/>
  <c r="E26"/>
  <c r="E24"/>
  <c r="E41"/>
  <c r="E19"/>
  <c r="E20"/>
  <c r="E32"/>
  <c r="E31"/>
  <c r="E30"/>
  <c r="E29"/>
  <c r="E28"/>
  <c r="M207" i="29"/>
  <c r="M95"/>
  <c r="M108"/>
  <c r="M125"/>
  <c r="M133"/>
  <c r="M190"/>
  <c r="M179"/>
  <c r="M203"/>
  <c r="N118"/>
  <c r="J206"/>
  <c r="J205"/>
  <c r="M50" i="30"/>
  <c r="M48"/>
  <c r="M46"/>
  <c r="N200" i="29"/>
  <c r="N199"/>
  <c r="J202"/>
  <c r="J201"/>
  <c r="J200"/>
  <c r="J178"/>
  <c r="J35" i="30"/>
  <c r="F35"/>
  <c r="J174" i="29"/>
  <c r="J173"/>
  <c r="J196"/>
  <c r="K39" i="30"/>
  <c r="K36"/>
  <c r="J195" i="29"/>
  <c r="J194"/>
  <c r="J199"/>
  <c r="J172"/>
  <c r="I34" i="30"/>
  <c r="I33"/>
  <c r="J192" i="29"/>
  <c r="H39" i="30"/>
  <c r="J188" i="29"/>
  <c r="I38" i="30"/>
  <c r="J183" i="29"/>
  <c r="I37" i="30"/>
  <c r="J182" i="29"/>
  <c r="J167"/>
  <c r="J166"/>
  <c r="J165"/>
  <c r="J164"/>
  <c r="I32" i="30"/>
  <c r="J163" i="29"/>
  <c r="H32" i="30"/>
  <c r="J156" i="29"/>
  <c r="J154"/>
  <c r="J153"/>
  <c r="J152"/>
  <c r="J150"/>
  <c r="J145"/>
  <c r="N144"/>
  <c r="J144"/>
  <c r="J143"/>
  <c r="J139"/>
  <c r="J138"/>
  <c r="J137"/>
  <c r="J136"/>
  <c r="I29" i="30"/>
  <c r="J135" i="29"/>
  <c r="H29" i="30"/>
  <c r="J131" i="29"/>
  <c r="J130"/>
  <c r="J129"/>
  <c r="J128"/>
  <c r="I28" i="30"/>
  <c r="J127" i="29"/>
  <c r="H28" i="30"/>
  <c r="J122" i="29"/>
  <c r="I27" i="30"/>
  <c r="J118" i="29"/>
  <c r="J117"/>
  <c r="J116"/>
  <c r="I11" i="34"/>
  <c r="L24" i="32"/>
  <c r="C15" i="24"/>
  <c r="O15"/>
  <c r="E76" i="17"/>
  <c r="O5" i="24"/>
  <c r="C3"/>
  <c r="BB22" i="23"/>
  <c r="M16" i="32"/>
  <c r="J16"/>
  <c r="M10" i="24"/>
  <c r="F15"/>
  <c r="P15"/>
  <c r="F76" i="17"/>
  <c r="P5" i="24"/>
  <c r="L15"/>
  <c r="L33" i="32"/>
  <c r="O33"/>
  <c r="D16" i="24"/>
  <c r="O6"/>
  <c r="F11"/>
  <c r="M32" i="32"/>
  <c r="E16" i="24"/>
  <c r="J31" i="32"/>
  <c r="M42"/>
  <c r="L32"/>
  <c r="D14" i="24"/>
  <c r="D13"/>
  <c r="D3"/>
  <c r="BC22" i="23"/>
  <c r="O4" i="24"/>
  <c r="E3"/>
  <c r="BD22" i="23"/>
  <c r="C8" i="24"/>
  <c r="AK22" i="23"/>
  <c r="C14" i="24"/>
  <c r="L16" i="32"/>
  <c r="O17"/>
  <c r="F35"/>
  <c r="H34"/>
  <c r="F43"/>
  <c r="G38"/>
  <c r="AD7" i="33"/>
  <c r="AE7"/>
  <c r="U19"/>
  <c r="H10"/>
  <c r="M10"/>
  <c r="G11"/>
  <c r="M9"/>
  <c r="W11"/>
  <c r="X10"/>
  <c r="I12"/>
  <c r="J11"/>
  <c r="O12"/>
  <c r="P11"/>
  <c r="Q10"/>
  <c r="R9"/>
  <c r="Y9"/>
  <c r="Z8"/>
  <c r="R19"/>
  <c r="H22" i="32"/>
  <c r="H23"/>
  <c r="T15" i="24"/>
  <c r="AQ34" i="21"/>
  <c r="AQ40"/>
  <c r="AQ398"/>
  <c r="AQ17"/>
  <c r="AD216"/>
  <c r="AQ22"/>
  <c r="AQ27"/>
  <c r="AQ396"/>
  <c r="AB34"/>
  <c r="O44" i="29"/>
  <c r="P44"/>
  <c r="AB22" i="21"/>
  <c r="AE22"/>
  <c r="AF22"/>
  <c r="AC22"/>
  <c r="AD22"/>
  <c r="Q32" i="29"/>
  <c r="AA40" i="21"/>
  <c r="AN40"/>
  <c r="AN398"/>
  <c r="AN84"/>
  <c r="AN399"/>
  <c r="AR84"/>
  <c r="AR399"/>
  <c r="AM84"/>
  <c r="AM399"/>
  <c r="AS84"/>
  <c r="AS399"/>
  <c r="AM40"/>
  <c r="AM398"/>
  <c r="AT40"/>
  <c r="AT398"/>
  <c r="AU32"/>
  <c r="AU397"/>
  <c r="AN32"/>
  <c r="AN397"/>
  <c r="AH417"/>
  <c r="N52" i="29"/>
  <c r="L26"/>
  <c r="AB17" i="21"/>
  <c r="AT16"/>
  <c r="AA27"/>
  <c r="AB26"/>
  <c r="O36" i="29"/>
  <c r="P36"/>
  <c r="N36"/>
  <c r="AW26" i="21"/>
  <c r="AN16"/>
  <c r="AU16"/>
  <c r="AB29"/>
  <c r="O39" i="29"/>
  <c r="P39"/>
  <c r="L43" i="30"/>
  <c r="A10" i="20"/>
  <c r="M74" i="29"/>
  <c r="I36" i="30"/>
  <c r="L18"/>
  <c r="L42"/>
  <c r="B23"/>
  <c r="O63" i="29"/>
  <c r="P63"/>
  <c r="O49"/>
  <c r="AE48" i="21"/>
  <c r="AF48"/>
  <c r="AC48"/>
  <c r="AD48"/>
  <c r="O185" i="29"/>
  <c r="P185"/>
  <c r="AM16" i="21"/>
  <c r="AE64"/>
  <c r="AF64"/>
  <c r="AC64"/>
  <c r="AD64"/>
  <c r="Q65" i="29"/>
  <c r="I40" i="30"/>
  <c r="J203" i="29"/>
  <c r="O54"/>
  <c r="H37" i="30"/>
  <c r="H36"/>
  <c r="H31"/>
  <c r="AO16" i="21"/>
  <c r="AP16"/>
  <c r="AB16"/>
  <c r="H39" i="8"/>
  <c r="AB348" i="21"/>
  <c r="AE347"/>
  <c r="AE348"/>
  <c r="M109" i="29"/>
  <c r="AW35" i="21"/>
  <c r="N42" i="29"/>
  <c r="AB42" i="21"/>
  <c r="O52" i="29"/>
  <c r="AE39" i="21"/>
  <c r="AF39"/>
  <c r="AC39"/>
  <c r="AD39"/>
  <c r="Q49" i="29"/>
  <c r="O73"/>
  <c r="O228"/>
  <c r="P228"/>
  <c r="AF30" i="21"/>
  <c r="O40" i="29"/>
  <c r="AE59" i="21"/>
  <c r="AF59"/>
  <c r="AC59"/>
  <c r="AD59"/>
  <c r="Q61" i="29"/>
  <c r="O61"/>
  <c r="P61"/>
  <c r="R64"/>
  <c r="T64"/>
  <c r="S64"/>
  <c r="O68"/>
  <c r="AE23" i="21"/>
  <c r="AF23"/>
  <c r="AC23"/>
  <c r="AD23"/>
  <c r="Q33" i="29"/>
  <c r="O33"/>
  <c r="P33"/>
  <c r="AE60" i="21"/>
  <c r="AF60"/>
  <c r="AC60"/>
  <c r="AD60"/>
  <c r="Q62" i="29"/>
  <c r="O62"/>
  <c r="P62"/>
  <c r="AE72" i="21"/>
  <c r="AF72"/>
  <c r="AC72"/>
  <c r="AD72"/>
  <c r="Q70" i="29"/>
  <c r="O70"/>
  <c r="AE38" i="21"/>
  <c r="AF38"/>
  <c r="AC38"/>
  <c r="AD38"/>
  <c r="Q48" i="29"/>
  <c r="O48"/>
  <c r="P48"/>
  <c r="R47"/>
  <c r="T47"/>
  <c r="S47"/>
  <c r="AE35" i="21"/>
  <c r="AF35"/>
  <c r="AC35"/>
  <c r="AD35"/>
  <c r="Q45" i="29"/>
  <c r="O45"/>
  <c r="P45"/>
  <c r="AE54" i="21"/>
  <c r="AF54"/>
  <c r="AC54"/>
  <c r="AD54"/>
  <c r="O58" i="29"/>
  <c r="P58"/>
  <c r="AE56" i="21"/>
  <c r="AF56"/>
  <c r="AC56"/>
  <c r="AD56"/>
  <c r="Q59" i="29"/>
  <c r="O59"/>
  <c r="P59"/>
  <c r="O56"/>
  <c r="P56"/>
  <c r="AQ42" i="21"/>
  <c r="AQ84"/>
  <c r="AQ399"/>
  <c r="AA84"/>
  <c r="AW54"/>
  <c r="AE61"/>
  <c r="AF61"/>
  <c r="AC61"/>
  <c r="AD61"/>
  <c r="Q63" i="29"/>
  <c r="AE55" i="21"/>
  <c r="AF55"/>
  <c r="AC55"/>
  <c r="AD55"/>
  <c r="AW55"/>
  <c r="AW56"/>
  <c r="AW67"/>
  <c r="AW44"/>
  <c r="AW36"/>
  <c r="AW34"/>
  <c r="AW49"/>
  <c r="AE36"/>
  <c r="AF36"/>
  <c r="AC36"/>
  <c r="AD36"/>
  <c r="Q46" i="29"/>
  <c r="AQ29" i="21"/>
  <c r="AQ32"/>
  <c r="AQ397"/>
  <c r="AA32"/>
  <c r="AW29"/>
  <c r="AW32"/>
  <c r="AW397"/>
  <c r="AC45"/>
  <c r="AD45"/>
  <c r="AC31"/>
  <c r="AD31"/>
  <c r="Q41" i="29"/>
  <c r="AW22" i="21"/>
  <c r="AW23"/>
  <c r="AW45"/>
  <c r="AE75"/>
  <c r="AF75"/>
  <c r="AC75"/>
  <c r="AD75"/>
  <c r="AE74"/>
  <c r="AF74"/>
  <c r="AC74"/>
  <c r="AD74"/>
  <c r="Q72" i="29"/>
  <c r="AE24" i="21"/>
  <c r="AF24"/>
  <c r="AC24"/>
  <c r="AD24"/>
  <c r="Q34" i="29"/>
  <c r="AW52" i="21"/>
  <c r="AE71"/>
  <c r="AF71"/>
  <c r="AC71"/>
  <c r="AD71"/>
  <c r="Q69" i="29"/>
  <c r="AE25" i="21"/>
  <c r="AF25"/>
  <c r="AC25"/>
  <c r="AD25"/>
  <c r="Q35" i="29"/>
  <c r="AE69" i="21"/>
  <c r="AF69"/>
  <c r="AC69"/>
  <c r="AD69"/>
  <c r="AE44"/>
  <c r="AF44"/>
  <c r="AC44"/>
  <c r="AD44"/>
  <c r="AE65"/>
  <c r="AF65"/>
  <c r="AC65"/>
  <c r="AD65"/>
  <c r="Q66" i="29"/>
  <c r="AW25" i="21"/>
  <c r="AE83"/>
  <c r="AF83"/>
  <c r="AC83"/>
  <c r="AD83"/>
  <c r="AE82"/>
  <c r="AF82"/>
  <c r="AC82"/>
  <c r="AD82"/>
  <c r="AE67"/>
  <c r="AF67"/>
  <c r="AC67"/>
  <c r="AD67"/>
  <c r="AE80"/>
  <c r="AF80"/>
  <c r="AC80"/>
  <c r="AD80"/>
  <c r="AW48"/>
  <c r="AW50"/>
  <c r="AE50"/>
  <c r="AF50"/>
  <c r="AC50"/>
  <c r="AD50"/>
  <c r="AE47"/>
  <c r="AF47"/>
  <c r="AC47"/>
  <c r="AD47"/>
  <c r="AE79"/>
  <c r="AF79"/>
  <c r="AC79"/>
  <c r="AD79"/>
  <c r="AE78"/>
  <c r="AF78"/>
  <c r="AC78"/>
  <c r="AD78"/>
  <c r="AE51"/>
  <c r="AF51"/>
  <c r="AC51"/>
  <c r="AD51"/>
  <c r="AE76"/>
  <c r="AF76"/>
  <c r="AC76"/>
  <c r="AD76"/>
  <c r="AW24"/>
  <c r="AW42"/>
  <c r="B45" i="27"/>
  <c r="J39" i="30"/>
  <c r="F39"/>
  <c r="J28"/>
  <c r="J26"/>
  <c r="I30"/>
  <c r="J40"/>
  <c r="J32"/>
  <c r="J29"/>
  <c r="J34"/>
  <c r="J33"/>
  <c r="J41"/>
  <c r="J115" i="29"/>
  <c r="J114"/>
  <c r="J113"/>
  <c r="J112"/>
  <c r="N107"/>
  <c r="J98"/>
  <c r="J99"/>
  <c r="J100"/>
  <c r="J101"/>
  <c r="J102"/>
  <c r="J103"/>
  <c r="J104"/>
  <c r="J105"/>
  <c r="J106"/>
  <c r="J107"/>
  <c r="J97"/>
  <c r="I98"/>
  <c r="I99"/>
  <c r="I100"/>
  <c r="I101"/>
  <c r="I102"/>
  <c r="I103"/>
  <c r="I104"/>
  <c r="I105"/>
  <c r="I106"/>
  <c r="I107"/>
  <c r="I97"/>
  <c r="J22"/>
  <c r="J179"/>
  <c r="C35" i="30"/>
  <c r="BC57" i="23"/>
  <c r="BD57"/>
  <c r="BE57"/>
  <c r="BF57"/>
  <c r="BG57"/>
  <c r="BH57"/>
  <c r="BI57"/>
  <c r="BJ57"/>
  <c r="BK57"/>
  <c r="BL57"/>
  <c r="BM57"/>
  <c r="BC58"/>
  <c r="BD58"/>
  <c r="BE58"/>
  <c r="BF58"/>
  <c r="BG58"/>
  <c r="BH58"/>
  <c r="BI58"/>
  <c r="BJ58"/>
  <c r="BK58"/>
  <c r="BL58"/>
  <c r="BM58"/>
  <c r="BC59"/>
  <c r="BD59"/>
  <c r="BE59"/>
  <c r="BF59"/>
  <c r="BG59"/>
  <c r="BH59"/>
  <c r="BI59"/>
  <c r="BJ59"/>
  <c r="BK59"/>
  <c r="BL59"/>
  <c r="BM59"/>
  <c r="U58"/>
  <c r="V58"/>
  <c r="W58"/>
  <c r="X58"/>
  <c r="Y58"/>
  <c r="Z58"/>
  <c r="AA58"/>
  <c r="AB58"/>
  <c r="AC58"/>
  <c r="AD58"/>
  <c r="AE58"/>
  <c r="U59"/>
  <c r="V59"/>
  <c r="W59"/>
  <c r="X59"/>
  <c r="Y59"/>
  <c r="Z59"/>
  <c r="AA59"/>
  <c r="AB59"/>
  <c r="AC59"/>
  <c r="AD59"/>
  <c r="AE59"/>
  <c r="K74" i="29"/>
  <c r="T325" i="21"/>
  <c r="S325"/>
  <c r="G325"/>
  <c r="AP324"/>
  <c r="AO324"/>
  <c r="AJ324"/>
  <c r="AI324"/>
  <c r="AG324"/>
  <c r="R324"/>
  <c r="W324"/>
  <c r="AP323"/>
  <c r="AO323"/>
  <c r="AJ323"/>
  <c r="AI323"/>
  <c r="AG323"/>
  <c r="R323"/>
  <c r="AL323"/>
  <c r="AU323"/>
  <c r="AP322"/>
  <c r="AO322"/>
  <c r="AJ322"/>
  <c r="AI322"/>
  <c r="AG322"/>
  <c r="R322"/>
  <c r="AL322"/>
  <c r="AU322"/>
  <c r="AP321"/>
  <c r="AO321"/>
  <c r="AJ321"/>
  <c r="AI321"/>
  <c r="AG321"/>
  <c r="R321"/>
  <c r="AK321"/>
  <c r="AT321"/>
  <c r="AP320"/>
  <c r="AO320"/>
  <c r="AJ320"/>
  <c r="AI320"/>
  <c r="AG320"/>
  <c r="R320"/>
  <c r="W320"/>
  <c r="AS320"/>
  <c r="T377"/>
  <c r="S377"/>
  <c r="G377"/>
  <c r="AP376"/>
  <c r="AP377"/>
  <c r="AO376"/>
  <c r="AO377"/>
  <c r="AJ376"/>
  <c r="AJ377"/>
  <c r="AI376"/>
  <c r="AI377"/>
  <c r="AG376"/>
  <c r="AG377"/>
  <c r="R376"/>
  <c r="T273"/>
  <c r="S273"/>
  <c r="G273"/>
  <c r="AP272"/>
  <c r="AO272"/>
  <c r="AJ272"/>
  <c r="AI272"/>
  <c r="AG272"/>
  <c r="R272"/>
  <c r="AL272"/>
  <c r="AU272"/>
  <c r="AP271"/>
  <c r="AO271"/>
  <c r="AJ271"/>
  <c r="AI271"/>
  <c r="AG271"/>
  <c r="R271"/>
  <c r="W271"/>
  <c r="AP270"/>
  <c r="AO270"/>
  <c r="AJ270"/>
  <c r="AI270"/>
  <c r="AG270"/>
  <c r="R270"/>
  <c r="W270"/>
  <c r="AP269"/>
  <c r="AO269"/>
  <c r="AJ269"/>
  <c r="AI269"/>
  <c r="AG269"/>
  <c r="R269"/>
  <c r="AL269"/>
  <c r="T303"/>
  <c r="S303"/>
  <c r="G303"/>
  <c r="AP302"/>
  <c r="AO302"/>
  <c r="AJ302"/>
  <c r="AI302"/>
  <c r="AG302"/>
  <c r="P302"/>
  <c r="R302"/>
  <c r="W302"/>
  <c r="AP301"/>
  <c r="AO301"/>
  <c r="AJ301"/>
  <c r="AI301"/>
  <c r="AG301"/>
  <c r="P301"/>
  <c r="R301"/>
  <c r="AP300"/>
  <c r="AO300"/>
  <c r="AJ300"/>
  <c r="AI300"/>
  <c r="AG300"/>
  <c r="P300"/>
  <c r="R300"/>
  <c r="AP299"/>
  <c r="AO299"/>
  <c r="AJ299"/>
  <c r="AI299"/>
  <c r="AG299"/>
  <c r="P299"/>
  <c r="R299"/>
  <c r="AL299"/>
  <c r="AU299"/>
  <c r="AP298"/>
  <c r="AO298"/>
  <c r="AJ298"/>
  <c r="AI298"/>
  <c r="AG298"/>
  <c r="P298"/>
  <c r="R298"/>
  <c r="W298"/>
  <c r="T267"/>
  <c r="S267"/>
  <c r="G267"/>
  <c r="AP266"/>
  <c r="AO266"/>
  <c r="AJ266"/>
  <c r="AI266"/>
  <c r="AG266"/>
  <c r="R266"/>
  <c r="AP265"/>
  <c r="AO265"/>
  <c r="AJ265"/>
  <c r="AI265"/>
  <c r="AG265"/>
  <c r="R265"/>
  <c r="W265"/>
  <c r="AP264"/>
  <c r="AO264"/>
  <c r="AJ264"/>
  <c r="AI264"/>
  <c r="AG264"/>
  <c r="R264"/>
  <c r="W264"/>
  <c r="AP263"/>
  <c r="AO263"/>
  <c r="AJ263"/>
  <c r="AI263"/>
  <c r="AG263"/>
  <c r="R263"/>
  <c r="AL263"/>
  <c r="AU263"/>
  <c r="AP262"/>
  <c r="AO262"/>
  <c r="AJ262"/>
  <c r="AI262"/>
  <c r="AG262"/>
  <c r="R262"/>
  <c r="T230"/>
  <c r="S230"/>
  <c r="G230"/>
  <c r="AP229"/>
  <c r="AO229"/>
  <c r="AJ229"/>
  <c r="AI229"/>
  <c r="AG229"/>
  <c r="R229"/>
  <c r="AK229"/>
  <c r="AT229"/>
  <c r="AP228"/>
  <c r="AO228"/>
  <c r="AJ228"/>
  <c r="AI228"/>
  <c r="AG228"/>
  <c r="R228"/>
  <c r="T212"/>
  <c r="S212"/>
  <c r="G212"/>
  <c r="AP211"/>
  <c r="AO211"/>
  <c r="AJ211"/>
  <c r="AI211"/>
  <c r="AG211"/>
  <c r="R211"/>
  <c r="AK211"/>
  <c r="AT211"/>
  <c r="AP210"/>
  <c r="AO210"/>
  <c r="AJ210"/>
  <c r="AI210"/>
  <c r="AG210"/>
  <c r="R210"/>
  <c r="AL210"/>
  <c r="AU210"/>
  <c r="AP209"/>
  <c r="AO209"/>
  <c r="AJ209"/>
  <c r="AI209"/>
  <c r="AG209"/>
  <c r="R209"/>
  <c r="W209"/>
  <c r="AR209"/>
  <c r="AP208"/>
  <c r="AO208"/>
  <c r="AJ208"/>
  <c r="AI208"/>
  <c r="AG208"/>
  <c r="R208"/>
  <c r="AL208"/>
  <c r="AU208"/>
  <c r="AP207"/>
  <c r="AO207"/>
  <c r="AJ207"/>
  <c r="AI207"/>
  <c r="AG207"/>
  <c r="R207"/>
  <c r="T190"/>
  <c r="S190"/>
  <c r="G190"/>
  <c r="AP189"/>
  <c r="AO189"/>
  <c r="AJ189"/>
  <c r="AI189"/>
  <c r="AG189"/>
  <c r="R189"/>
  <c r="W189"/>
  <c r="AR189"/>
  <c r="AP188"/>
  <c r="AO188"/>
  <c r="AJ188"/>
  <c r="AI188"/>
  <c r="AG188"/>
  <c r="R188"/>
  <c r="AL188"/>
  <c r="AU188"/>
  <c r="AP187"/>
  <c r="AO187"/>
  <c r="AJ187"/>
  <c r="AI187"/>
  <c r="AG187"/>
  <c r="R187"/>
  <c r="AL187"/>
  <c r="AU187"/>
  <c r="AP186"/>
  <c r="AO186"/>
  <c r="AJ186"/>
  <c r="AI186"/>
  <c r="AG186"/>
  <c r="R186"/>
  <c r="AL186"/>
  <c r="AU186"/>
  <c r="AP185"/>
  <c r="AO185"/>
  <c r="AJ185"/>
  <c r="AI185"/>
  <c r="AG185"/>
  <c r="R185"/>
  <c r="AK185"/>
  <c r="Z168"/>
  <c r="U168"/>
  <c r="T168"/>
  <c r="S168"/>
  <c r="G168"/>
  <c r="AP167"/>
  <c r="AO167"/>
  <c r="AJ167"/>
  <c r="AI167"/>
  <c r="AG167"/>
  <c r="P167"/>
  <c r="R167"/>
  <c r="AL167"/>
  <c r="AU167"/>
  <c r="AP166"/>
  <c r="AO166"/>
  <c r="AJ166"/>
  <c r="AI166"/>
  <c r="AG166"/>
  <c r="P166"/>
  <c r="R166"/>
  <c r="AP165"/>
  <c r="AO165"/>
  <c r="AJ165"/>
  <c r="AI165"/>
  <c r="AG165"/>
  <c r="P165"/>
  <c r="R165"/>
  <c r="AP164"/>
  <c r="AO164"/>
  <c r="AJ164"/>
  <c r="AI164"/>
  <c r="AG164"/>
  <c r="P164"/>
  <c r="R164"/>
  <c r="W164"/>
  <c r="AR164"/>
  <c r="AP163"/>
  <c r="AO163"/>
  <c r="AJ163"/>
  <c r="AI163"/>
  <c r="AG163"/>
  <c r="P163"/>
  <c r="R163"/>
  <c r="AL163"/>
  <c r="T148"/>
  <c r="S148"/>
  <c r="G148"/>
  <c r="AP147"/>
  <c r="AO147"/>
  <c r="AJ147"/>
  <c r="AI147"/>
  <c r="AG147"/>
  <c r="R147"/>
  <c r="AK147"/>
  <c r="AT147"/>
  <c r="AP146"/>
  <c r="AO146"/>
  <c r="AJ146"/>
  <c r="AI146"/>
  <c r="AG146"/>
  <c r="R146"/>
  <c r="AP145"/>
  <c r="AO145"/>
  <c r="AJ145"/>
  <c r="AI145"/>
  <c r="AG145"/>
  <c r="R145"/>
  <c r="AL145"/>
  <c r="AU145"/>
  <c r="AP144"/>
  <c r="AO144"/>
  <c r="AJ144"/>
  <c r="AI144"/>
  <c r="AG144"/>
  <c r="R144"/>
  <c r="W144"/>
  <c r="AR144"/>
  <c r="AP143"/>
  <c r="AO143"/>
  <c r="AJ143"/>
  <c r="AI143"/>
  <c r="AG143"/>
  <c r="R143"/>
  <c r="T330"/>
  <c r="T409"/>
  <c r="S330"/>
  <c r="S409"/>
  <c r="G330"/>
  <c r="AS329"/>
  <c r="AS330"/>
  <c r="AS409"/>
  <c r="AR329"/>
  <c r="AR330"/>
  <c r="AR409"/>
  <c r="AJ329"/>
  <c r="AJ330"/>
  <c r="AJ409"/>
  <c r="AI329"/>
  <c r="AI330"/>
  <c r="AI409"/>
  <c r="AG329"/>
  <c r="AE329"/>
  <c r="AE330"/>
  <c r="R329"/>
  <c r="T318"/>
  <c r="S318"/>
  <c r="G318"/>
  <c r="AS317"/>
  <c r="AR317"/>
  <c r="AJ317"/>
  <c r="AI317"/>
  <c r="AG317"/>
  <c r="AE317"/>
  <c r="R317"/>
  <c r="AL317"/>
  <c r="AU317"/>
  <c r="AS316"/>
  <c r="AR316"/>
  <c r="AJ316"/>
  <c r="AI316"/>
  <c r="AG316"/>
  <c r="AE316"/>
  <c r="R316"/>
  <c r="AL316"/>
  <c r="AU316"/>
  <c r="AS315"/>
  <c r="AR315"/>
  <c r="AJ315"/>
  <c r="AI315"/>
  <c r="AG315"/>
  <c r="AE315"/>
  <c r="R315"/>
  <c r="AK315"/>
  <c r="AT315"/>
  <c r="AS314"/>
  <c r="AR314"/>
  <c r="AJ314"/>
  <c r="AI314"/>
  <c r="AG314"/>
  <c r="AE314"/>
  <c r="R314"/>
  <c r="AL314"/>
  <c r="AU314"/>
  <c r="AS313"/>
  <c r="AR313"/>
  <c r="AJ313"/>
  <c r="AI313"/>
  <c r="AG313"/>
  <c r="AE313"/>
  <c r="R313"/>
  <c r="AS312"/>
  <c r="AR312"/>
  <c r="AQ312"/>
  <c r="AJ312"/>
  <c r="AI312"/>
  <c r="AG312"/>
  <c r="AE312"/>
  <c r="I312"/>
  <c r="R312"/>
  <c r="T374"/>
  <c r="S374"/>
  <c r="G374"/>
  <c r="AS373"/>
  <c r="AR373"/>
  <c r="AJ373"/>
  <c r="AI373"/>
  <c r="AG373"/>
  <c r="AE373"/>
  <c r="R373"/>
  <c r="AL373"/>
  <c r="AU373"/>
  <c r="AS372"/>
  <c r="AR372"/>
  <c r="AJ372"/>
  <c r="AI372"/>
  <c r="AG372"/>
  <c r="AE372"/>
  <c r="R372"/>
  <c r="AS371"/>
  <c r="AR371"/>
  <c r="AJ371"/>
  <c r="AI371"/>
  <c r="AG371"/>
  <c r="AE371"/>
  <c r="R371"/>
  <c r="AS369"/>
  <c r="AR369"/>
  <c r="AQ369"/>
  <c r="AJ369"/>
  <c r="AI369"/>
  <c r="AG369"/>
  <c r="AE369"/>
  <c r="P369"/>
  <c r="R369"/>
  <c r="AS368"/>
  <c r="AR368"/>
  <c r="AQ368"/>
  <c r="AJ368"/>
  <c r="AI368"/>
  <c r="AG368"/>
  <c r="AE368"/>
  <c r="P368"/>
  <c r="R368"/>
  <c r="AS367"/>
  <c r="AR367"/>
  <c r="AQ367"/>
  <c r="AJ367"/>
  <c r="AI367"/>
  <c r="AG367"/>
  <c r="AE367"/>
  <c r="P367"/>
  <c r="R367"/>
  <c r="AK367"/>
  <c r="AT367"/>
  <c r="AS366"/>
  <c r="AR366"/>
  <c r="AQ366"/>
  <c r="AJ366"/>
  <c r="AI366"/>
  <c r="AG366"/>
  <c r="AE366"/>
  <c r="P366"/>
  <c r="R366"/>
  <c r="T359"/>
  <c r="S359"/>
  <c r="G359"/>
  <c r="AS358"/>
  <c r="AR358"/>
  <c r="AQ358"/>
  <c r="AJ358"/>
  <c r="AI358"/>
  <c r="AG358"/>
  <c r="AE358"/>
  <c r="P358"/>
  <c r="R358"/>
  <c r="AS357"/>
  <c r="AR357"/>
  <c r="AQ357"/>
  <c r="AJ357"/>
  <c r="AI357"/>
  <c r="AG357"/>
  <c r="AE357"/>
  <c r="P357"/>
  <c r="R357"/>
  <c r="AS356"/>
  <c r="AR356"/>
  <c r="AQ356"/>
  <c r="AJ356"/>
  <c r="AI356"/>
  <c r="AG356"/>
  <c r="AE356"/>
  <c r="P356"/>
  <c r="AS355"/>
  <c r="AR355"/>
  <c r="AJ355"/>
  <c r="AI355"/>
  <c r="AG355"/>
  <c r="AE355"/>
  <c r="P355"/>
  <c r="R355"/>
  <c r="AL355"/>
  <c r="T345"/>
  <c r="S345"/>
  <c r="G345"/>
  <c r="AS344"/>
  <c r="AR344"/>
  <c r="AQ344"/>
  <c r="AJ344"/>
  <c r="AI344"/>
  <c r="AG344"/>
  <c r="AE344"/>
  <c r="P344"/>
  <c r="R344"/>
  <c r="AS343"/>
  <c r="AR343"/>
  <c r="AQ343"/>
  <c r="AJ343"/>
  <c r="AI343"/>
  <c r="AG343"/>
  <c r="AE343"/>
  <c r="P343"/>
  <c r="R343"/>
  <c r="AS342"/>
  <c r="AR342"/>
  <c r="AQ342"/>
  <c r="AJ342"/>
  <c r="AI342"/>
  <c r="AG342"/>
  <c r="AE342"/>
  <c r="P342"/>
  <c r="AS341"/>
  <c r="AR341"/>
  <c r="AJ341"/>
  <c r="AI341"/>
  <c r="AG341"/>
  <c r="AE341"/>
  <c r="P341"/>
  <c r="R341"/>
  <c r="AS340"/>
  <c r="AR340"/>
  <c r="AQ340"/>
  <c r="AJ340"/>
  <c r="AI340"/>
  <c r="AG340"/>
  <c r="AE340"/>
  <c r="P340"/>
  <c r="R340"/>
  <c r="AK340"/>
  <c r="AT340"/>
  <c r="AS339"/>
  <c r="AR339"/>
  <c r="AQ339"/>
  <c r="AJ339"/>
  <c r="AI339"/>
  <c r="AG339"/>
  <c r="AE339"/>
  <c r="P339"/>
  <c r="R339"/>
  <c r="Z339"/>
  <c r="AO339"/>
  <c r="T260"/>
  <c r="S260"/>
  <c r="G260"/>
  <c r="AS259"/>
  <c r="AR259"/>
  <c r="AQ259"/>
  <c r="AJ259"/>
  <c r="AI259"/>
  <c r="AG259"/>
  <c r="AE259"/>
  <c r="R259"/>
  <c r="Z259"/>
  <c r="AS258"/>
  <c r="AR258"/>
  <c r="AQ258"/>
  <c r="AJ258"/>
  <c r="AI258"/>
  <c r="AG258"/>
  <c r="AE258"/>
  <c r="R258"/>
  <c r="AK258"/>
  <c r="AT258"/>
  <c r="AS257"/>
  <c r="AR257"/>
  <c r="AQ257"/>
  <c r="AJ257"/>
  <c r="AI257"/>
  <c r="AG257"/>
  <c r="AE257"/>
  <c r="R257"/>
  <c r="AL257"/>
  <c r="AU257"/>
  <c r="AS256"/>
  <c r="AR256"/>
  <c r="AJ256"/>
  <c r="AI256"/>
  <c r="AG256"/>
  <c r="AE256"/>
  <c r="R256"/>
  <c r="AK256"/>
  <c r="T296"/>
  <c r="S296"/>
  <c r="G296"/>
  <c r="AS295"/>
  <c r="AR295"/>
  <c r="AQ295"/>
  <c r="AJ295"/>
  <c r="AI295"/>
  <c r="AG295"/>
  <c r="AE295"/>
  <c r="P295"/>
  <c r="R295"/>
  <c r="Z295"/>
  <c r="AS294"/>
  <c r="AR294"/>
  <c r="AJ294"/>
  <c r="AI294"/>
  <c r="AG294"/>
  <c r="AE294"/>
  <c r="P294"/>
  <c r="R294"/>
  <c r="AS293"/>
  <c r="AR293"/>
  <c r="AQ293"/>
  <c r="AJ293"/>
  <c r="AI293"/>
  <c r="AG293"/>
  <c r="AE293"/>
  <c r="P293"/>
  <c r="R293"/>
  <c r="Z293"/>
  <c r="AS292"/>
  <c r="AR292"/>
  <c r="AQ292"/>
  <c r="AJ292"/>
  <c r="AI292"/>
  <c r="AG292"/>
  <c r="AE292"/>
  <c r="P292"/>
  <c r="R292"/>
  <c r="AS291"/>
  <c r="AR291"/>
  <c r="AJ291"/>
  <c r="AI291"/>
  <c r="AG291"/>
  <c r="AE291"/>
  <c r="P291"/>
  <c r="R291"/>
  <c r="AS290"/>
  <c r="AR290"/>
  <c r="AQ290"/>
  <c r="AJ290"/>
  <c r="AI290"/>
  <c r="AG290"/>
  <c r="AE290"/>
  <c r="P290"/>
  <c r="R290"/>
  <c r="Z290"/>
  <c r="AS289"/>
  <c r="AR289"/>
  <c r="AQ289"/>
  <c r="AJ289"/>
  <c r="AI289"/>
  <c r="AG289"/>
  <c r="AE289"/>
  <c r="P289"/>
  <c r="R289"/>
  <c r="Z289"/>
  <c r="AS288"/>
  <c r="AR288"/>
  <c r="AQ288"/>
  <c r="AJ288"/>
  <c r="AI288"/>
  <c r="AG288"/>
  <c r="AE288"/>
  <c r="P288"/>
  <c r="R288"/>
  <c r="Z288"/>
  <c r="AS287"/>
  <c r="AR287"/>
  <c r="AQ287"/>
  <c r="AJ287"/>
  <c r="AI287"/>
  <c r="AG287"/>
  <c r="AE287"/>
  <c r="P287"/>
  <c r="R287"/>
  <c r="AS286"/>
  <c r="AR286"/>
  <c r="AQ286"/>
  <c r="AJ286"/>
  <c r="AI286"/>
  <c r="AG286"/>
  <c r="AE286"/>
  <c r="I286"/>
  <c r="P286"/>
  <c r="T254"/>
  <c r="G254"/>
  <c r="AS253"/>
  <c r="AR253"/>
  <c r="AQ253"/>
  <c r="AJ253"/>
  <c r="AI253"/>
  <c r="AG253"/>
  <c r="AE253"/>
  <c r="R253"/>
  <c r="AS252"/>
  <c r="AR252"/>
  <c r="AJ252"/>
  <c r="AI252"/>
  <c r="AG252"/>
  <c r="AE252"/>
  <c r="R252"/>
  <c r="Z252"/>
  <c r="AS251"/>
  <c r="AR251"/>
  <c r="AJ251"/>
  <c r="AI251"/>
  <c r="AG251"/>
  <c r="AE251"/>
  <c r="R251"/>
  <c r="AL251"/>
  <c r="AU251"/>
  <c r="AS250"/>
  <c r="AR250"/>
  <c r="AJ250"/>
  <c r="AI250"/>
  <c r="AG250"/>
  <c r="AE250"/>
  <c r="R250"/>
  <c r="AK250"/>
  <c r="AT250"/>
  <c r="AS249"/>
  <c r="AJ249"/>
  <c r="S249"/>
  <c r="AI249"/>
  <c r="R249"/>
  <c r="AS248"/>
  <c r="AR248"/>
  <c r="AJ248"/>
  <c r="AI248"/>
  <c r="AG248"/>
  <c r="AE248"/>
  <c r="R248"/>
  <c r="AS247"/>
  <c r="AR247"/>
  <c r="AQ247"/>
  <c r="AJ247"/>
  <c r="AI247"/>
  <c r="AG247"/>
  <c r="AE247"/>
  <c r="I247"/>
  <c r="I254"/>
  <c r="T226"/>
  <c r="G226"/>
  <c r="AS225"/>
  <c r="AR225"/>
  <c r="AJ225"/>
  <c r="AI225"/>
  <c r="AG225"/>
  <c r="AE225"/>
  <c r="R225"/>
  <c r="AL225"/>
  <c r="AU225"/>
  <c r="AS224"/>
  <c r="AR224"/>
  <c r="AJ224"/>
  <c r="AI224"/>
  <c r="AG224"/>
  <c r="AE224"/>
  <c r="R224"/>
  <c r="AL224"/>
  <c r="AU224"/>
  <c r="AS223"/>
  <c r="AR223"/>
  <c r="AJ223"/>
  <c r="AI223"/>
  <c r="AG223"/>
  <c r="AE223"/>
  <c r="R223"/>
  <c r="AS222"/>
  <c r="AR222"/>
  <c r="AJ222"/>
  <c r="AI222"/>
  <c r="AG222"/>
  <c r="AE222"/>
  <c r="R222"/>
  <c r="AK222"/>
  <c r="AT222"/>
  <c r="AS221"/>
  <c r="AJ221"/>
  <c r="S221"/>
  <c r="R221"/>
  <c r="AS220"/>
  <c r="AR220"/>
  <c r="AJ220"/>
  <c r="AI220"/>
  <c r="AG220"/>
  <c r="AE220"/>
  <c r="I220"/>
  <c r="I226"/>
  <c r="T205"/>
  <c r="S205"/>
  <c r="G205"/>
  <c r="AS204"/>
  <c r="AR204"/>
  <c r="AJ204"/>
  <c r="AI204"/>
  <c r="AG204"/>
  <c r="AE204"/>
  <c r="R204"/>
  <c r="AS203"/>
  <c r="AR203"/>
  <c r="AJ203"/>
  <c r="AI203"/>
  <c r="AG203"/>
  <c r="AE203"/>
  <c r="R203"/>
  <c r="AK203"/>
  <c r="AT203"/>
  <c r="AS202"/>
  <c r="AR202"/>
  <c r="AJ202"/>
  <c r="AI202"/>
  <c r="AG202"/>
  <c r="AE202"/>
  <c r="R202"/>
  <c r="AL202"/>
  <c r="AU202"/>
  <c r="AS201"/>
  <c r="AR201"/>
  <c r="AJ201"/>
  <c r="AI201"/>
  <c r="AG201"/>
  <c r="AE201"/>
  <c r="R201"/>
  <c r="AL201"/>
  <c r="AU201"/>
  <c r="AS200"/>
  <c r="AR200"/>
  <c r="AJ200"/>
  <c r="AI200"/>
  <c r="AG200"/>
  <c r="AE200"/>
  <c r="R200"/>
  <c r="AS199"/>
  <c r="AR199"/>
  <c r="AJ199"/>
  <c r="AI199"/>
  <c r="AG199"/>
  <c r="AE199"/>
  <c r="R199"/>
  <c r="K139" i="29"/>
  <c r="AS198" i="21"/>
  <c r="AR198"/>
  <c r="AQ198"/>
  <c r="AJ198"/>
  <c r="AI198"/>
  <c r="AG198"/>
  <c r="AE198"/>
  <c r="I198"/>
  <c r="I205"/>
  <c r="T183"/>
  <c r="S183"/>
  <c r="G183"/>
  <c r="AS182"/>
  <c r="AR182"/>
  <c r="AJ182"/>
  <c r="AI182"/>
  <c r="AG182"/>
  <c r="AE182"/>
  <c r="R182"/>
  <c r="Z182"/>
  <c r="AS181"/>
  <c r="AR181"/>
  <c r="AJ181"/>
  <c r="AI181"/>
  <c r="AG181"/>
  <c r="AE181"/>
  <c r="R181"/>
  <c r="AS180"/>
  <c r="AR180"/>
  <c r="AJ180"/>
  <c r="AI180"/>
  <c r="AG180"/>
  <c r="AE180"/>
  <c r="R180"/>
  <c r="Z180"/>
  <c r="AS179"/>
  <c r="AR179"/>
  <c r="AJ179"/>
  <c r="AI179"/>
  <c r="AG179"/>
  <c r="AE179"/>
  <c r="R179"/>
  <c r="AK179"/>
  <c r="AT179"/>
  <c r="AS178"/>
  <c r="AR178"/>
  <c r="AJ178"/>
  <c r="AI178"/>
  <c r="AG178"/>
  <c r="AE178"/>
  <c r="R178"/>
  <c r="AK178"/>
  <c r="AT178"/>
  <c r="AS177"/>
  <c r="AR177"/>
  <c r="AJ177"/>
  <c r="AI177"/>
  <c r="AG177"/>
  <c r="AE177"/>
  <c r="R177"/>
  <c r="K131" i="29"/>
  <c r="AS176" i="21"/>
  <c r="AR176"/>
  <c r="AJ176"/>
  <c r="AI176"/>
  <c r="AG176"/>
  <c r="AE176"/>
  <c r="I176"/>
  <c r="I183"/>
  <c r="I191"/>
  <c r="T161"/>
  <c r="S161"/>
  <c r="Q161"/>
  <c r="I161"/>
  <c r="G161"/>
  <c r="AS160"/>
  <c r="AR160"/>
  <c r="AQ160"/>
  <c r="AJ160"/>
  <c r="AI160"/>
  <c r="AG160"/>
  <c r="AE160"/>
  <c r="P160"/>
  <c r="R160"/>
  <c r="AK160"/>
  <c r="AT160"/>
  <c r="AS159"/>
  <c r="AR159"/>
  <c r="AJ159"/>
  <c r="AI159"/>
  <c r="AG159"/>
  <c r="AE159"/>
  <c r="P159"/>
  <c r="R159"/>
  <c r="AS158"/>
  <c r="AR158"/>
  <c r="AQ158"/>
  <c r="AJ158"/>
  <c r="AI158"/>
  <c r="AG158"/>
  <c r="AE158"/>
  <c r="P158"/>
  <c r="R158"/>
  <c r="AS157"/>
  <c r="AR157"/>
  <c r="AQ157"/>
  <c r="AJ157"/>
  <c r="AI157"/>
  <c r="AG157"/>
  <c r="AE157"/>
  <c r="P157"/>
  <c r="R157"/>
  <c r="AS156"/>
  <c r="AR156"/>
  <c r="AQ156"/>
  <c r="AJ156"/>
  <c r="AI156"/>
  <c r="AG156"/>
  <c r="AE156"/>
  <c r="P156"/>
  <c r="R156"/>
  <c r="AS155"/>
  <c r="AR155"/>
  <c r="AJ155"/>
  <c r="AI155"/>
  <c r="AG155"/>
  <c r="AE155"/>
  <c r="P155"/>
  <c r="T141"/>
  <c r="S141"/>
  <c r="G141"/>
  <c r="AS140"/>
  <c r="AR140"/>
  <c r="AQ140"/>
  <c r="AJ140"/>
  <c r="AI140"/>
  <c r="AG140"/>
  <c r="AE140"/>
  <c r="R140"/>
  <c r="Z140"/>
  <c r="AS139"/>
  <c r="AR139"/>
  <c r="AQ139"/>
  <c r="AJ139"/>
  <c r="AI139"/>
  <c r="AG139"/>
  <c r="AE139"/>
  <c r="R139"/>
  <c r="AL139"/>
  <c r="AU139"/>
  <c r="AS138"/>
  <c r="AR138"/>
  <c r="AQ138"/>
  <c r="AJ138"/>
  <c r="AI138"/>
  <c r="AG138"/>
  <c r="AE138"/>
  <c r="R138"/>
  <c r="AK138"/>
  <c r="AT138"/>
  <c r="AS137"/>
  <c r="AR137"/>
  <c r="AQ137"/>
  <c r="AJ137"/>
  <c r="AI137"/>
  <c r="AG137"/>
  <c r="AE137"/>
  <c r="R137"/>
  <c r="AS136"/>
  <c r="AR136"/>
  <c r="AQ136"/>
  <c r="AJ136"/>
  <c r="AI136"/>
  <c r="AG136"/>
  <c r="AE136"/>
  <c r="R136"/>
  <c r="Z136"/>
  <c r="AS135"/>
  <c r="AR135"/>
  <c r="AQ135"/>
  <c r="AJ135"/>
  <c r="AI135"/>
  <c r="AG135"/>
  <c r="AE135"/>
  <c r="R135"/>
  <c r="Z135"/>
  <c r="AP135"/>
  <c r="AS134"/>
  <c r="AR134"/>
  <c r="AJ134"/>
  <c r="AI134"/>
  <c r="AG134"/>
  <c r="AE134"/>
  <c r="R134"/>
  <c r="Z134"/>
  <c r="AS133"/>
  <c r="AR133"/>
  <c r="AQ133"/>
  <c r="AJ133"/>
  <c r="AI133"/>
  <c r="AG133"/>
  <c r="AE133"/>
  <c r="R133"/>
  <c r="Z133"/>
  <c r="AP133"/>
  <c r="AS132"/>
  <c r="AR132"/>
  <c r="AQ132"/>
  <c r="AJ132"/>
  <c r="AI132"/>
  <c r="AG132"/>
  <c r="AE132"/>
  <c r="R132"/>
  <c r="Z132"/>
  <c r="AS131"/>
  <c r="AR131"/>
  <c r="AQ131"/>
  <c r="AJ131"/>
  <c r="AI131"/>
  <c r="AG131"/>
  <c r="AE131"/>
  <c r="I131"/>
  <c r="I141"/>
  <c r="T387"/>
  <c r="S387"/>
  <c r="G387"/>
  <c r="AS386"/>
  <c r="AR386"/>
  <c r="AJ386"/>
  <c r="AI386"/>
  <c r="AG386"/>
  <c r="AE386"/>
  <c r="R386"/>
  <c r="AS385"/>
  <c r="AR385"/>
  <c r="AJ385"/>
  <c r="AI385"/>
  <c r="AG385"/>
  <c r="AE385"/>
  <c r="R385"/>
  <c r="AS384"/>
  <c r="AR384"/>
  <c r="AQ384"/>
  <c r="AJ384"/>
  <c r="AI384"/>
  <c r="AG384"/>
  <c r="AE384"/>
  <c r="R384"/>
  <c r="T118"/>
  <c r="S118"/>
  <c r="G118"/>
  <c r="G119"/>
  <c r="AS117"/>
  <c r="AR117"/>
  <c r="AQ117"/>
  <c r="AJ117"/>
  <c r="AI117"/>
  <c r="AG117"/>
  <c r="AE117"/>
  <c r="P117"/>
  <c r="R117"/>
  <c r="K107" i="29"/>
  <c r="AS116" i="21"/>
  <c r="AR116"/>
  <c r="AJ116"/>
  <c r="AI116"/>
  <c r="AG116"/>
  <c r="AE116"/>
  <c r="R116"/>
  <c r="Z116"/>
  <c r="AS115"/>
  <c r="AR115"/>
  <c r="AJ115"/>
  <c r="AI115"/>
  <c r="AG115"/>
  <c r="AE115"/>
  <c r="R115"/>
  <c r="AL115"/>
  <c r="AU115"/>
  <c r="AS114"/>
  <c r="AR114"/>
  <c r="AJ114"/>
  <c r="AI114"/>
  <c r="AG114"/>
  <c r="AE114"/>
  <c r="R114"/>
  <c r="Z114"/>
  <c r="L104" i="29"/>
  <c r="AS113" i="21"/>
  <c r="AR113"/>
  <c r="AJ113"/>
  <c r="AI113"/>
  <c r="AG113"/>
  <c r="AE113"/>
  <c r="R113"/>
  <c r="AL113"/>
  <c r="AU113"/>
  <c r="AS112"/>
  <c r="AR112"/>
  <c r="AJ112"/>
  <c r="AI112"/>
  <c r="AG112"/>
  <c r="AE112"/>
  <c r="R112"/>
  <c r="Z112"/>
  <c r="L102" i="29"/>
  <c r="AS111" i="21"/>
  <c r="AR111"/>
  <c r="AJ111"/>
  <c r="AI111"/>
  <c r="AG111"/>
  <c r="AE111"/>
  <c r="R111"/>
  <c r="AK111"/>
  <c r="AT111"/>
  <c r="AS110"/>
  <c r="AR110"/>
  <c r="AJ110"/>
  <c r="AI110"/>
  <c r="AG110"/>
  <c r="AE110"/>
  <c r="R110"/>
  <c r="AL110"/>
  <c r="AU110"/>
  <c r="AS109"/>
  <c r="AR109"/>
  <c r="AJ109"/>
  <c r="AI109"/>
  <c r="AG109"/>
  <c r="AE109"/>
  <c r="R109"/>
  <c r="Z109"/>
  <c r="L99" i="29"/>
  <c r="AS108" i="21"/>
  <c r="AR108"/>
  <c r="AJ108"/>
  <c r="AI108"/>
  <c r="AG108"/>
  <c r="AE108"/>
  <c r="R108"/>
  <c r="Z108"/>
  <c r="AO108"/>
  <c r="AS107"/>
  <c r="AR107"/>
  <c r="AJ107"/>
  <c r="AI107"/>
  <c r="AG107"/>
  <c r="AE107"/>
  <c r="R107"/>
  <c r="Z107"/>
  <c r="AO107"/>
  <c r="T392"/>
  <c r="S392"/>
  <c r="G392"/>
  <c r="AS391"/>
  <c r="AR391"/>
  <c r="AJ391"/>
  <c r="AI391"/>
  <c r="AG391"/>
  <c r="AE391"/>
  <c r="R391"/>
  <c r="AS390"/>
  <c r="AR390"/>
  <c r="AJ390"/>
  <c r="AI390"/>
  <c r="AG390"/>
  <c r="AE390"/>
  <c r="R390"/>
  <c r="N392"/>
  <c r="AS389"/>
  <c r="AR389"/>
  <c r="AQ389"/>
  <c r="AP389"/>
  <c r="AO389"/>
  <c r="AL389"/>
  <c r="AU389"/>
  <c r="AK389"/>
  <c r="AT389"/>
  <c r="AJ389"/>
  <c r="AI389"/>
  <c r="T310"/>
  <c r="S310"/>
  <c r="G310"/>
  <c r="AS309"/>
  <c r="AR309"/>
  <c r="AJ309"/>
  <c r="AI309"/>
  <c r="AG309"/>
  <c r="AE309"/>
  <c r="R309"/>
  <c r="AS308"/>
  <c r="AR308"/>
  <c r="AJ308"/>
  <c r="AI308"/>
  <c r="AG308"/>
  <c r="AE308"/>
  <c r="R308"/>
  <c r="AS306"/>
  <c r="AR306"/>
  <c r="AQ306"/>
  <c r="AP306"/>
  <c r="AO306"/>
  <c r="AL306"/>
  <c r="AU306"/>
  <c r="AK306"/>
  <c r="AT306"/>
  <c r="AJ306"/>
  <c r="AI306"/>
  <c r="AA364"/>
  <c r="T364"/>
  <c r="S364"/>
  <c r="G364"/>
  <c r="AS363"/>
  <c r="AS364"/>
  <c r="AR363"/>
  <c r="AR364"/>
  <c r="AQ363"/>
  <c r="AQ364"/>
  <c r="AJ363"/>
  <c r="AJ364"/>
  <c r="AI363"/>
  <c r="AI364"/>
  <c r="AG363"/>
  <c r="AG364"/>
  <c r="AE363"/>
  <c r="AE364"/>
  <c r="I363"/>
  <c r="P363"/>
  <c r="AA353"/>
  <c r="T353"/>
  <c r="S353"/>
  <c r="G353"/>
  <c r="AS352"/>
  <c r="AS353"/>
  <c r="AR352"/>
  <c r="AR353"/>
  <c r="AQ352"/>
  <c r="AQ353"/>
  <c r="AJ352"/>
  <c r="AJ353"/>
  <c r="AI352"/>
  <c r="AI353"/>
  <c r="AG352"/>
  <c r="AG353"/>
  <c r="AE352"/>
  <c r="AE353"/>
  <c r="P352"/>
  <c r="R352"/>
  <c r="AA337"/>
  <c r="T337"/>
  <c r="S337"/>
  <c r="G337"/>
  <c r="AS336"/>
  <c r="AR336"/>
  <c r="AQ336"/>
  <c r="AJ336"/>
  <c r="AI336"/>
  <c r="AG336"/>
  <c r="AE336"/>
  <c r="P336"/>
  <c r="R336"/>
  <c r="AS335"/>
  <c r="AS337"/>
  <c r="AR335"/>
  <c r="AQ335"/>
  <c r="AJ335"/>
  <c r="AI335"/>
  <c r="AI337"/>
  <c r="AG335"/>
  <c r="AG337"/>
  <c r="AE335"/>
  <c r="AE337"/>
  <c r="I335"/>
  <c r="P335"/>
  <c r="T284"/>
  <c r="S284"/>
  <c r="G284"/>
  <c r="AS283"/>
  <c r="AR283"/>
  <c r="AQ283"/>
  <c r="AJ283"/>
  <c r="AI283"/>
  <c r="AG283"/>
  <c r="AE283"/>
  <c r="P283"/>
  <c r="R283"/>
  <c r="AS282"/>
  <c r="AR282"/>
  <c r="AQ282"/>
  <c r="AJ282"/>
  <c r="AI282"/>
  <c r="AG282"/>
  <c r="AE282"/>
  <c r="P282"/>
  <c r="R282"/>
  <c r="Z282"/>
  <c r="AS281"/>
  <c r="AR281"/>
  <c r="AJ281"/>
  <c r="AI281"/>
  <c r="AG281"/>
  <c r="AE281"/>
  <c r="P281"/>
  <c r="R281"/>
  <c r="AS280"/>
  <c r="AR280"/>
  <c r="AQ280"/>
  <c r="AJ280"/>
  <c r="AI280"/>
  <c r="AG280"/>
  <c r="AE280"/>
  <c r="P280"/>
  <c r="R280"/>
  <c r="Z280"/>
  <c r="AS279"/>
  <c r="AR279"/>
  <c r="AQ279"/>
  <c r="AJ279"/>
  <c r="AI279"/>
  <c r="AG279"/>
  <c r="AE279"/>
  <c r="P279"/>
  <c r="R279"/>
  <c r="AS278"/>
  <c r="AR278"/>
  <c r="AQ278"/>
  <c r="AJ278"/>
  <c r="AI278"/>
  <c r="AG278"/>
  <c r="AE278"/>
  <c r="P278"/>
  <c r="R278"/>
  <c r="AS277"/>
  <c r="AR277"/>
  <c r="AQ277"/>
  <c r="AJ277"/>
  <c r="AI277"/>
  <c r="AG277"/>
  <c r="AE277"/>
  <c r="P277"/>
  <c r="I277"/>
  <c r="K277"/>
  <c r="AA245"/>
  <c r="T245"/>
  <c r="G245"/>
  <c r="AS244"/>
  <c r="AR244"/>
  <c r="AQ244"/>
  <c r="AJ244"/>
  <c r="AI244"/>
  <c r="AG244"/>
  <c r="AE244"/>
  <c r="K244"/>
  <c r="R244"/>
  <c r="AS243"/>
  <c r="AR243"/>
  <c r="AQ243"/>
  <c r="AJ243"/>
  <c r="AI243"/>
  <c r="AG243"/>
  <c r="AE243"/>
  <c r="K243"/>
  <c r="R243"/>
  <c r="K152" i="29"/>
  <c r="AS242" i="21"/>
  <c r="AR242"/>
  <c r="AQ242"/>
  <c r="AJ242"/>
  <c r="AI242"/>
  <c r="AG242"/>
  <c r="AE242"/>
  <c r="K242"/>
  <c r="R242"/>
  <c r="AK242"/>
  <c r="AT242"/>
  <c r="AS241"/>
  <c r="AR241"/>
  <c r="AQ241"/>
  <c r="AJ241"/>
  <c r="AI241"/>
  <c r="AG241"/>
  <c r="AE241"/>
  <c r="K241"/>
  <c r="R241"/>
  <c r="AL241"/>
  <c r="AU241"/>
  <c r="AS240"/>
  <c r="AR240"/>
  <c r="AQ240"/>
  <c r="AJ240"/>
  <c r="AI240"/>
  <c r="AG240"/>
  <c r="AE240"/>
  <c r="K240"/>
  <c r="R240"/>
  <c r="AS239"/>
  <c r="AR239"/>
  <c r="AQ239"/>
  <c r="AJ239"/>
  <c r="AI239"/>
  <c r="AG239"/>
  <c r="AE239"/>
  <c r="K239"/>
  <c r="R239"/>
  <c r="AS238"/>
  <c r="AR238"/>
  <c r="AQ238"/>
  <c r="AJ238"/>
  <c r="AI238"/>
  <c r="AG238"/>
  <c r="AE238"/>
  <c r="K238"/>
  <c r="R238"/>
  <c r="AS237"/>
  <c r="AR237"/>
  <c r="AQ237"/>
  <c r="AJ237"/>
  <c r="AI237"/>
  <c r="AG237"/>
  <c r="AE237"/>
  <c r="K237"/>
  <c r="R237"/>
  <c r="AS236"/>
  <c r="AR236"/>
  <c r="AQ236"/>
  <c r="AJ236"/>
  <c r="AI236"/>
  <c r="AG236"/>
  <c r="AE236"/>
  <c r="K236"/>
  <c r="R236"/>
  <c r="Z236"/>
  <c r="AS235"/>
  <c r="AQ235"/>
  <c r="AJ235"/>
  <c r="S235"/>
  <c r="AI235"/>
  <c r="K235"/>
  <c r="R235"/>
  <c r="AS234"/>
  <c r="AR234"/>
  <c r="AQ234"/>
  <c r="AJ234"/>
  <c r="AI234"/>
  <c r="AG234"/>
  <c r="AE234"/>
  <c r="I234"/>
  <c r="K234"/>
  <c r="T218"/>
  <c r="S218"/>
  <c r="I218"/>
  <c r="G218"/>
  <c r="AS217"/>
  <c r="AS218"/>
  <c r="AR217"/>
  <c r="AR218"/>
  <c r="AQ217"/>
  <c r="AQ218"/>
  <c r="AJ217"/>
  <c r="AJ218"/>
  <c r="AI217"/>
  <c r="AI218"/>
  <c r="AG217"/>
  <c r="AG218"/>
  <c r="AE217"/>
  <c r="AE218"/>
  <c r="R217"/>
  <c r="AS214"/>
  <c r="AR214"/>
  <c r="AQ214"/>
  <c r="AP214"/>
  <c r="AO214"/>
  <c r="AL214"/>
  <c r="AU214"/>
  <c r="AK214"/>
  <c r="AT214"/>
  <c r="AJ214"/>
  <c r="AI214"/>
  <c r="AA196"/>
  <c r="T196"/>
  <c r="S196"/>
  <c r="G196"/>
  <c r="AS195"/>
  <c r="AR195"/>
  <c r="AQ195"/>
  <c r="AJ195"/>
  <c r="AI195"/>
  <c r="AG195"/>
  <c r="AE195"/>
  <c r="R195"/>
  <c r="AS194"/>
  <c r="AR194"/>
  <c r="AR196"/>
  <c r="AQ194"/>
  <c r="AQ196"/>
  <c r="AJ194"/>
  <c r="AI194"/>
  <c r="AI196"/>
  <c r="AG194"/>
  <c r="AE194"/>
  <c r="I194"/>
  <c r="I196"/>
  <c r="AS192"/>
  <c r="AR192"/>
  <c r="AQ192"/>
  <c r="AP192"/>
  <c r="AO192"/>
  <c r="AL192"/>
  <c r="AK192"/>
  <c r="AJ192"/>
  <c r="AI192"/>
  <c r="AA174"/>
  <c r="T174"/>
  <c r="S174"/>
  <c r="G174"/>
  <c r="AS173"/>
  <c r="AR173"/>
  <c r="AQ173"/>
  <c r="AJ173"/>
  <c r="AI173"/>
  <c r="AG173"/>
  <c r="AE173"/>
  <c r="R173"/>
  <c r="AS172"/>
  <c r="AR172"/>
  <c r="AQ172"/>
  <c r="AJ172"/>
  <c r="AI172"/>
  <c r="AG172"/>
  <c r="AE172"/>
  <c r="AE174"/>
  <c r="I172"/>
  <c r="R172"/>
  <c r="AS170"/>
  <c r="AR170"/>
  <c r="AQ170"/>
  <c r="AP170"/>
  <c r="AO170"/>
  <c r="AL170"/>
  <c r="AK170"/>
  <c r="AJ170"/>
  <c r="AI170"/>
  <c r="AA153"/>
  <c r="T153"/>
  <c r="S153"/>
  <c r="K153"/>
  <c r="J153"/>
  <c r="I153"/>
  <c r="G153"/>
  <c r="AS152"/>
  <c r="AS153"/>
  <c r="AR152"/>
  <c r="AR153"/>
  <c r="AQ152"/>
  <c r="AQ153"/>
  <c r="AJ152"/>
  <c r="AJ153"/>
  <c r="AI152"/>
  <c r="AI153"/>
  <c r="AG152"/>
  <c r="AG153"/>
  <c r="AE152"/>
  <c r="AE153"/>
  <c r="P152"/>
  <c r="P153"/>
  <c r="AS150"/>
  <c r="AR150"/>
  <c r="AQ150"/>
  <c r="AP150"/>
  <c r="AO150"/>
  <c r="AL150"/>
  <c r="AU150"/>
  <c r="AK150"/>
  <c r="AT150"/>
  <c r="AJ150"/>
  <c r="AI150"/>
  <c r="AA129"/>
  <c r="T129"/>
  <c r="S129"/>
  <c r="G129"/>
  <c r="AS128"/>
  <c r="AR128"/>
  <c r="AQ128"/>
  <c r="AJ128"/>
  <c r="AI128"/>
  <c r="AG128"/>
  <c r="AE128"/>
  <c r="P128"/>
  <c r="R128"/>
  <c r="K115" i="29"/>
  <c r="AS127" i="21"/>
  <c r="AR127"/>
  <c r="AQ127"/>
  <c r="AJ127"/>
  <c r="AI127"/>
  <c r="AG127"/>
  <c r="AE127"/>
  <c r="P127"/>
  <c r="AS126"/>
  <c r="AR126"/>
  <c r="AQ126"/>
  <c r="AJ126"/>
  <c r="AI126"/>
  <c r="AG126"/>
  <c r="AE126"/>
  <c r="K126"/>
  <c r="R126"/>
  <c r="AS125"/>
  <c r="AR125"/>
  <c r="AQ125"/>
  <c r="AJ125"/>
  <c r="AI125"/>
  <c r="AG125"/>
  <c r="AE125"/>
  <c r="K125"/>
  <c r="R125"/>
  <c r="Z125"/>
  <c r="AS124"/>
  <c r="AR124"/>
  <c r="AQ124"/>
  <c r="AJ124"/>
  <c r="AI124"/>
  <c r="AG124"/>
  <c r="AE124"/>
  <c r="K124"/>
  <c r="R124"/>
  <c r="AS123"/>
  <c r="AR123"/>
  <c r="AQ123"/>
  <c r="AJ123"/>
  <c r="AI123"/>
  <c r="AG123"/>
  <c r="AE123"/>
  <c r="I123"/>
  <c r="I129"/>
  <c r="AA382"/>
  <c r="T382"/>
  <c r="S382"/>
  <c r="G382"/>
  <c r="AS381"/>
  <c r="AS382"/>
  <c r="AR381"/>
  <c r="AR382"/>
  <c r="AQ381"/>
  <c r="AQ382"/>
  <c r="AJ381"/>
  <c r="AJ382"/>
  <c r="AI381"/>
  <c r="AI382"/>
  <c r="AG381"/>
  <c r="AG382"/>
  <c r="AE381"/>
  <c r="AE382"/>
  <c r="R381"/>
  <c r="T105"/>
  <c r="S105"/>
  <c r="AS104"/>
  <c r="AR104"/>
  <c r="AQ104"/>
  <c r="AJ104"/>
  <c r="AI104"/>
  <c r="AG104"/>
  <c r="AE104"/>
  <c r="K104"/>
  <c r="R104"/>
  <c r="AS103"/>
  <c r="AR103"/>
  <c r="AJ103"/>
  <c r="AI103"/>
  <c r="AG103"/>
  <c r="AE103"/>
  <c r="R103"/>
  <c r="AS102"/>
  <c r="AR102"/>
  <c r="AQ102"/>
  <c r="AJ102"/>
  <c r="AI102"/>
  <c r="AG102"/>
  <c r="AE102"/>
  <c r="R102"/>
  <c r="AS101"/>
  <c r="AR101"/>
  <c r="AQ101"/>
  <c r="AJ101"/>
  <c r="AI101"/>
  <c r="AG101"/>
  <c r="AE101"/>
  <c r="K101"/>
  <c r="R101"/>
  <c r="K91" i="29"/>
  <c r="AS100" i="21"/>
  <c r="AR100"/>
  <c r="AQ100"/>
  <c r="AJ100"/>
  <c r="AI100"/>
  <c r="AG100"/>
  <c r="AE100"/>
  <c r="R100"/>
  <c r="P99"/>
  <c r="R99"/>
  <c r="K89" i="29"/>
  <c r="AS98" i="21"/>
  <c r="AR98"/>
  <c r="AQ98"/>
  <c r="AJ98"/>
  <c r="AI98"/>
  <c r="AG98"/>
  <c r="AE98"/>
  <c r="P98"/>
  <c r="R98"/>
  <c r="K88" i="29"/>
  <c r="AS97" i="21"/>
  <c r="AR97"/>
  <c r="AQ97"/>
  <c r="AJ97"/>
  <c r="AI97"/>
  <c r="AG97"/>
  <c r="AE97"/>
  <c r="R97"/>
  <c r="AS96"/>
  <c r="AR96"/>
  <c r="AQ96"/>
  <c r="AJ96"/>
  <c r="AI96"/>
  <c r="AG96"/>
  <c r="AE96"/>
  <c r="P96"/>
  <c r="R96"/>
  <c r="K86" i="29"/>
  <c r="AS95" i="21"/>
  <c r="AR95"/>
  <c r="AQ95"/>
  <c r="AJ95"/>
  <c r="AI95"/>
  <c r="AG95"/>
  <c r="AE95"/>
  <c r="P95"/>
  <c r="R95"/>
  <c r="K85" i="29"/>
  <c r="AS94" i="21"/>
  <c r="AR94"/>
  <c r="AJ94"/>
  <c r="AI94"/>
  <c r="AG94"/>
  <c r="AE94"/>
  <c r="P94"/>
  <c r="R94"/>
  <c r="K84" i="29"/>
  <c r="AS93" i="21"/>
  <c r="AR93"/>
  <c r="AQ93"/>
  <c r="AJ93"/>
  <c r="AI93"/>
  <c r="AG93"/>
  <c r="AE93"/>
  <c r="R93"/>
  <c r="AS92"/>
  <c r="AR92"/>
  <c r="AJ92"/>
  <c r="AI92"/>
  <c r="AG92"/>
  <c r="AE92"/>
  <c r="R92"/>
  <c r="K82" i="29"/>
  <c r="AS91" i="21"/>
  <c r="AR91"/>
  <c r="AJ91"/>
  <c r="AI91"/>
  <c r="AG91"/>
  <c r="AE91"/>
  <c r="R91"/>
  <c r="K81" i="29"/>
  <c r="AS90" i="21"/>
  <c r="AR90"/>
  <c r="AQ90"/>
  <c r="AJ90"/>
  <c r="AI90"/>
  <c r="AG90"/>
  <c r="AE90"/>
  <c r="P90"/>
  <c r="R90"/>
  <c r="K80" i="29"/>
  <c r="AS89" i="21"/>
  <c r="AR89"/>
  <c r="AQ89"/>
  <c r="AJ89"/>
  <c r="AI89"/>
  <c r="AG89"/>
  <c r="AE89"/>
  <c r="K89"/>
  <c r="R89"/>
  <c r="K79" i="29"/>
  <c r="AS88" i="21"/>
  <c r="AR88"/>
  <c r="AQ88"/>
  <c r="AJ88"/>
  <c r="AI88"/>
  <c r="AG88"/>
  <c r="AE88"/>
  <c r="K88"/>
  <c r="R88"/>
  <c r="K78" i="29"/>
  <c r="AS87" i="21"/>
  <c r="AR87"/>
  <c r="AQ87"/>
  <c r="AJ87"/>
  <c r="AI87"/>
  <c r="AG87"/>
  <c r="AE87"/>
  <c r="K87"/>
  <c r="R87"/>
  <c r="K77" i="29"/>
  <c r="AS15" i="21"/>
  <c r="AR15"/>
  <c r="AQ15"/>
  <c r="AP15"/>
  <c r="AO15"/>
  <c r="AG15"/>
  <c r="AS14"/>
  <c r="AR14"/>
  <c r="AQ14"/>
  <c r="AG14"/>
  <c r="AE14"/>
  <c r="I14"/>
  <c r="AS13"/>
  <c r="AR13"/>
  <c r="AQ13"/>
  <c r="AG13"/>
  <c r="AE13"/>
  <c r="I13"/>
  <c r="AS12"/>
  <c r="AR12"/>
  <c r="AQ12"/>
  <c r="AG12"/>
  <c r="I12"/>
  <c r="AG11"/>
  <c r="I11"/>
  <c r="K11"/>
  <c r="AF10"/>
  <c r="AD10"/>
  <c r="I10"/>
  <c r="R10"/>
  <c r="C18" i="20"/>
  <c r="K16" i="32"/>
  <c r="M5" i="24"/>
  <c r="M17" i="32"/>
  <c r="J17"/>
  <c r="J22"/>
  <c r="J23"/>
  <c r="N10" i="24"/>
  <c r="R10"/>
  <c r="S10"/>
  <c r="L17" i="32"/>
  <c r="G6" i="24"/>
  <c r="H43" i="32"/>
  <c r="O34"/>
  <c r="L34"/>
  <c r="L43"/>
  <c r="G11" i="24"/>
  <c r="M33" i="32"/>
  <c r="J33"/>
  <c r="K33"/>
  <c r="F6" i="24"/>
  <c r="J32" i="32"/>
  <c r="O16" i="24"/>
  <c r="E77" i="17"/>
  <c r="E65"/>
  <c r="J42" i="32"/>
  <c r="K31"/>
  <c r="O43"/>
  <c r="O3" i="24"/>
  <c r="D24" i="4"/>
  <c r="C13" i="24"/>
  <c r="F36" i="32"/>
  <c r="H35"/>
  <c r="G39"/>
  <c r="Z19" i="33"/>
  <c r="AC8"/>
  <c r="AB22"/>
  <c r="AB23"/>
  <c r="P20"/>
  <c r="Q11"/>
  <c r="R10"/>
  <c r="U10"/>
  <c r="G4" i="24"/>
  <c r="X11" i="33"/>
  <c r="W12"/>
  <c r="J20"/>
  <c r="U9"/>
  <c r="F4" i="24"/>
  <c r="Z9" i="33"/>
  <c r="AC9"/>
  <c r="F9" i="24"/>
  <c r="Y10" i="33"/>
  <c r="O13"/>
  <c r="P12"/>
  <c r="J12"/>
  <c r="I13"/>
  <c r="H11"/>
  <c r="H20"/>
  <c r="G12"/>
  <c r="L22" i="32"/>
  <c r="L23"/>
  <c r="T5" i="24"/>
  <c r="AR337" i="21"/>
  <c r="AQ174"/>
  <c r="AR260"/>
  <c r="AR359"/>
  <c r="AR360"/>
  <c r="AR411"/>
  <c r="AE196"/>
  <c r="AQ337"/>
  <c r="AS260"/>
  <c r="AS129"/>
  <c r="AG196"/>
  <c r="AJ174"/>
  <c r="AI174"/>
  <c r="AE129"/>
  <c r="AS359"/>
  <c r="AS360"/>
  <c r="AS411"/>
  <c r="AJ337"/>
  <c r="AI129"/>
  <c r="AQ129"/>
  <c r="AS174"/>
  <c r="AG174"/>
  <c r="AB40"/>
  <c r="AB398"/>
  <c r="AE34"/>
  <c r="AF34"/>
  <c r="AF40"/>
  <c r="AF398"/>
  <c r="AJ129"/>
  <c r="AS196"/>
  <c r="AG359"/>
  <c r="AG360"/>
  <c r="AG411"/>
  <c r="O32" i="29"/>
  <c r="P32"/>
  <c r="AJ392" i="21"/>
  <c r="AJ423"/>
  <c r="AG387"/>
  <c r="AG388"/>
  <c r="AE374"/>
  <c r="AE392"/>
  <c r="AR392"/>
  <c r="AR423"/>
  <c r="AI387"/>
  <c r="AI388"/>
  <c r="AI422"/>
  <c r="AR387"/>
  <c r="AR388"/>
  <c r="AR174"/>
  <c r="AI392"/>
  <c r="AI296"/>
  <c r="AS296"/>
  <c r="AJ374"/>
  <c r="AJ378"/>
  <c r="AJ412"/>
  <c r="AO148"/>
  <c r="AJ168"/>
  <c r="AO190"/>
  <c r="AJ212"/>
  <c r="AI230"/>
  <c r="AJ267"/>
  <c r="AI303"/>
  <c r="AG273"/>
  <c r="AP273"/>
  <c r="AJ284"/>
  <c r="AE310"/>
  <c r="AR310"/>
  <c r="AG392"/>
  <c r="AS392"/>
  <c r="AJ387"/>
  <c r="AJ388"/>
  <c r="AI141"/>
  <c r="AS141"/>
  <c r="AE260"/>
  <c r="AI345"/>
  <c r="AI349"/>
  <c r="AI410"/>
  <c r="AS345"/>
  <c r="AS349"/>
  <c r="AS410"/>
  <c r="AE359"/>
  <c r="AE360"/>
  <c r="AE411"/>
  <c r="AE387"/>
  <c r="AE388"/>
  <c r="AS387"/>
  <c r="AS388"/>
  <c r="AR129"/>
  <c r="AG129"/>
  <c r="AG296"/>
  <c r="AR296"/>
  <c r="AI374"/>
  <c r="AI378"/>
  <c r="AI412"/>
  <c r="AS374"/>
  <c r="AI267"/>
  <c r="AG303"/>
  <c r="AP303"/>
  <c r="AO273"/>
  <c r="AG345"/>
  <c r="AG349"/>
  <c r="AR345"/>
  <c r="AR349"/>
  <c r="AG374"/>
  <c r="AG378"/>
  <c r="AG412"/>
  <c r="AR374"/>
  <c r="AJ359"/>
  <c r="AJ360"/>
  <c r="AJ411"/>
  <c r="AI318"/>
  <c r="AS318"/>
  <c r="AU355"/>
  <c r="AI359"/>
  <c r="AI360"/>
  <c r="AI411"/>
  <c r="AG325"/>
  <c r="AP325"/>
  <c r="AS161"/>
  <c r="AG260"/>
  <c r="AJ345"/>
  <c r="AJ318"/>
  <c r="AE345"/>
  <c r="AE349"/>
  <c r="AO325"/>
  <c r="AG330"/>
  <c r="AG409"/>
  <c r="AG318"/>
  <c r="AR318"/>
  <c r="AJ325"/>
  <c r="AI310"/>
  <c r="AE318"/>
  <c r="AI325"/>
  <c r="AG161"/>
  <c r="AE284"/>
  <c r="AG310"/>
  <c r="AS310"/>
  <c r="AJ310"/>
  <c r="AO303"/>
  <c r="AJ303"/>
  <c r="AR161"/>
  <c r="AI284"/>
  <c r="AS284"/>
  <c r="AE296"/>
  <c r="AI190"/>
  <c r="AG212"/>
  <c r="AP212"/>
  <c r="AO230"/>
  <c r="AG267"/>
  <c r="AP267"/>
  <c r="AJ273"/>
  <c r="AG284"/>
  <c r="AR284"/>
  <c r="AJ296"/>
  <c r="AG148"/>
  <c r="AP148"/>
  <c r="AO168"/>
  <c r="AO267"/>
  <c r="AI273"/>
  <c r="AU269"/>
  <c r="AI260"/>
  <c r="AQ245"/>
  <c r="AG230"/>
  <c r="AP230"/>
  <c r="AT256"/>
  <c r="AI254"/>
  <c r="AS254"/>
  <c r="AJ260"/>
  <c r="AJ254"/>
  <c r="AJ245"/>
  <c r="AI245"/>
  <c r="AS245"/>
  <c r="AG190"/>
  <c r="AP190"/>
  <c r="AO212"/>
  <c r="AJ230"/>
  <c r="AI205"/>
  <c r="AS205"/>
  <c r="AS226"/>
  <c r="AJ196"/>
  <c r="AI168"/>
  <c r="AJ190"/>
  <c r="AI212"/>
  <c r="AJ226"/>
  <c r="AJ231"/>
  <c r="AJ405"/>
  <c r="AG205"/>
  <c r="AR205"/>
  <c r="AE205"/>
  <c r="AJ205"/>
  <c r="AG183"/>
  <c r="AS183"/>
  <c r="AE183"/>
  <c r="AR183"/>
  <c r="AI183"/>
  <c r="AJ183"/>
  <c r="AT185"/>
  <c r="AJ141"/>
  <c r="AG168"/>
  <c r="AI161"/>
  <c r="AE161"/>
  <c r="AI148"/>
  <c r="AP168"/>
  <c r="AU163"/>
  <c r="AE141"/>
  <c r="AJ161"/>
  <c r="AJ148"/>
  <c r="AG141"/>
  <c r="AR141"/>
  <c r="AG105"/>
  <c r="AR105"/>
  <c r="AW84"/>
  <c r="AW399"/>
  <c r="AE105"/>
  <c r="AI118"/>
  <c r="AJ105"/>
  <c r="AG118"/>
  <c r="AS118"/>
  <c r="AI105"/>
  <c r="AI119"/>
  <c r="AS105"/>
  <c r="AE118"/>
  <c r="AR118"/>
  <c r="AJ118"/>
  <c r="AR18"/>
  <c r="AW40"/>
  <c r="AW398"/>
  <c r="AS18"/>
  <c r="AG18"/>
  <c r="AQ18"/>
  <c r="T431"/>
  <c r="O27" i="29"/>
  <c r="P27"/>
  <c r="AE17" i="21"/>
  <c r="T429"/>
  <c r="AC30"/>
  <c r="L124" i="29"/>
  <c r="O26"/>
  <c r="P26"/>
  <c r="AW16" i="21"/>
  <c r="AW427"/>
  <c r="T430"/>
  <c r="AE26"/>
  <c r="AF26"/>
  <c r="S431"/>
  <c r="K193" i="29"/>
  <c r="AE29" i="21"/>
  <c r="AB32"/>
  <c r="AB397"/>
  <c r="AH92"/>
  <c r="AH103"/>
  <c r="AH104"/>
  <c r="AH91"/>
  <c r="K94" i="29"/>
  <c r="P129" i="21"/>
  <c r="P149"/>
  <c r="N23" i="30"/>
  <c r="P40" i="29"/>
  <c r="P42"/>
  <c r="G304" i="21"/>
  <c r="H26" i="30"/>
  <c r="H25"/>
  <c r="H42"/>
  <c r="J209" i="29"/>
  <c r="B426" i="21"/>
  <c r="A426"/>
  <c r="J28" i="29"/>
  <c r="C19" i="30"/>
  <c r="J208" i="29"/>
  <c r="B425" i="21"/>
  <c r="A425"/>
  <c r="S304"/>
  <c r="S407"/>
  <c r="T414"/>
  <c r="T423"/>
  <c r="S414"/>
  <c r="S423"/>
  <c r="AB84"/>
  <c r="AB399"/>
  <c r="F40" i="30"/>
  <c r="T360" i="21"/>
  <c r="T411"/>
  <c r="AE42"/>
  <c r="I231"/>
  <c r="G388"/>
  <c r="T326"/>
  <c r="G149"/>
  <c r="G349"/>
  <c r="G231"/>
  <c r="G360"/>
  <c r="AF16"/>
  <c r="S360"/>
  <c r="S411"/>
  <c r="G213"/>
  <c r="T274"/>
  <c r="T406"/>
  <c r="S326"/>
  <c r="T388"/>
  <c r="S388"/>
  <c r="G191"/>
  <c r="S349"/>
  <c r="G378"/>
  <c r="T378"/>
  <c r="T412"/>
  <c r="S378"/>
  <c r="S412"/>
  <c r="G274"/>
  <c r="T304"/>
  <c r="T407"/>
  <c r="G326"/>
  <c r="G331"/>
  <c r="T149"/>
  <c r="T231"/>
  <c r="T405"/>
  <c r="T349"/>
  <c r="T119"/>
  <c r="S213"/>
  <c r="S404"/>
  <c r="AF347"/>
  <c r="AF348"/>
  <c r="I213"/>
  <c r="G169"/>
  <c r="T191"/>
  <c r="T403"/>
  <c r="S191"/>
  <c r="S403"/>
  <c r="T213"/>
  <c r="T404"/>
  <c r="T169"/>
  <c r="T402"/>
  <c r="S169"/>
  <c r="S402"/>
  <c r="S149"/>
  <c r="S119"/>
  <c r="I149"/>
  <c r="Q56" i="29"/>
  <c r="S56"/>
  <c r="Q54"/>
  <c r="R41"/>
  <c r="T41"/>
  <c r="S41"/>
  <c r="R59"/>
  <c r="T59"/>
  <c r="S59"/>
  <c r="R45"/>
  <c r="T45"/>
  <c r="S45"/>
  <c r="R48"/>
  <c r="T48"/>
  <c r="S48"/>
  <c r="Z93" i="21"/>
  <c r="L83" i="29"/>
  <c r="K83"/>
  <c r="AK100" i="21"/>
  <c r="K90" i="29"/>
  <c r="Z102" i="21"/>
  <c r="L92" i="29"/>
  <c r="K92"/>
  <c r="Z103" i="21"/>
  <c r="L93" i="29"/>
  <c r="K93"/>
  <c r="R46"/>
  <c r="T46"/>
  <c r="S46"/>
  <c r="R62"/>
  <c r="T62"/>
  <c r="S62"/>
  <c r="Z97" i="21"/>
  <c r="L87" i="29"/>
  <c r="K87"/>
  <c r="R63"/>
  <c r="T63"/>
  <c r="S63"/>
  <c r="R61"/>
  <c r="T61"/>
  <c r="S61"/>
  <c r="Q58"/>
  <c r="R66"/>
  <c r="T66"/>
  <c r="S66"/>
  <c r="Q68"/>
  <c r="Q73"/>
  <c r="Q228"/>
  <c r="R228"/>
  <c r="O42"/>
  <c r="M21" i="30"/>
  <c r="N21"/>
  <c r="Z99" i="21"/>
  <c r="L89" i="29"/>
  <c r="AK99" i="21"/>
  <c r="AT99"/>
  <c r="AL99"/>
  <c r="AU99"/>
  <c r="I18"/>
  <c r="J140" i="29"/>
  <c r="K29" i="30"/>
  <c r="F29"/>
  <c r="AH209" i="21"/>
  <c r="AA209"/>
  <c r="AQ209"/>
  <c r="Z256"/>
  <c r="AO256"/>
  <c r="J184" i="29"/>
  <c r="J132"/>
  <c r="K28" i="30"/>
  <c r="F28"/>
  <c r="J168" i="29"/>
  <c r="K32" i="30"/>
  <c r="F32"/>
  <c r="J157" i="29"/>
  <c r="K123" i="21"/>
  <c r="K129"/>
  <c r="K149"/>
  <c r="F41" i="30"/>
  <c r="AK391" i="21"/>
  <c r="AT391"/>
  <c r="K205" i="29"/>
  <c r="AR235" i="21"/>
  <c r="AR245"/>
  <c r="J151" i="29"/>
  <c r="I31" i="30"/>
  <c r="AI221" i="21"/>
  <c r="AI226"/>
  <c r="J146" i="29"/>
  <c r="J30" i="30"/>
  <c r="AR249" i="21"/>
  <c r="AR254"/>
  <c r="AH320"/>
  <c r="S254"/>
  <c r="J155" i="29"/>
  <c r="Z390" i="21"/>
  <c r="L206" i="29"/>
  <c r="K206"/>
  <c r="AK249" i="21"/>
  <c r="J159" i="29"/>
  <c r="AH143" i="21"/>
  <c r="I26" i="30"/>
  <c r="G19"/>
  <c r="N143" i="29"/>
  <c r="AH189" i="21"/>
  <c r="AA189"/>
  <c r="AQ189"/>
  <c r="AH272"/>
  <c r="AA272"/>
  <c r="AQ272"/>
  <c r="AM170"/>
  <c r="AK385"/>
  <c r="AT385"/>
  <c r="K201" i="29"/>
  <c r="W229" i="21"/>
  <c r="AR229"/>
  <c r="J160" i="29"/>
  <c r="R387" i="21"/>
  <c r="K200" i="29"/>
  <c r="Z386" i="21"/>
  <c r="L202" i="29"/>
  <c r="K202"/>
  <c r="J189"/>
  <c r="J38" i="30"/>
  <c r="F38"/>
  <c r="W323" i="21"/>
  <c r="AR323"/>
  <c r="Z381"/>
  <c r="AB381"/>
  <c r="K199" i="29"/>
  <c r="R277" i="21"/>
  <c r="K163" i="29"/>
  <c r="AL179" i="21"/>
  <c r="AU179"/>
  <c r="P161"/>
  <c r="AH271"/>
  <c r="AA271"/>
  <c r="AQ271"/>
  <c r="B35" i="30"/>
  <c r="J175" i="29"/>
  <c r="K34" i="30"/>
  <c r="AH323" i="21"/>
  <c r="AA323"/>
  <c r="AQ323"/>
  <c r="AL376"/>
  <c r="K196" i="29"/>
  <c r="Z329" i="21"/>
  <c r="AH329"/>
  <c r="AH330"/>
  <c r="K178" i="29"/>
  <c r="R330" i="21"/>
  <c r="AL313"/>
  <c r="AU313"/>
  <c r="K174" i="29"/>
  <c r="R318" i="21"/>
  <c r="K173" i="29"/>
  <c r="Z308" i="21"/>
  <c r="K172" i="29"/>
  <c r="AH308" i="21"/>
  <c r="R353"/>
  <c r="K188" i="29"/>
  <c r="AK368" i="21"/>
  <c r="Z368"/>
  <c r="AO368"/>
  <c r="Z371"/>
  <c r="AH371"/>
  <c r="K195" i="29"/>
  <c r="AK366" i="21"/>
  <c r="AL372"/>
  <c r="AU372"/>
  <c r="K194" i="29"/>
  <c r="Z336" i="21"/>
  <c r="L183" i="29"/>
  <c r="K183"/>
  <c r="AH266" i="21"/>
  <c r="AA266"/>
  <c r="AQ266"/>
  <c r="AH299"/>
  <c r="AA299"/>
  <c r="AQ299"/>
  <c r="AH264"/>
  <c r="AA264"/>
  <c r="AQ264"/>
  <c r="Z291"/>
  <c r="K167" i="29"/>
  <c r="Z287" i="21"/>
  <c r="L166" i="29"/>
  <c r="K166"/>
  <c r="Z278" i="21"/>
  <c r="K164" i="29"/>
  <c r="AL280" i="21"/>
  <c r="AU280"/>
  <c r="W272"/>
  <c r="AR272"/>
  <c r="Z244"/>
  <c r="L153" i="29"/>
  <c r="K153"/>
  <c r="K151"/>
  <c r="AK253" i="21"/>
  <c r="AT253"/>
  <c r="K156" i="29"/>
  <c r="AK248" i="21"/>
  <c r="AT248"/>
  <c r="K155" i="29"/>
  <c r="R247" i="21"/>
  <c r="K154" i="29"/>
  <c r="C40" i="30"/>
  <c r="J197" i="29"/>
  <c r="C39" i="30"/>
  <c r="B39"/>
  <c r="J147" i="29"/>
  <c r="K30" i="30"/>
  <c r="K143" i="29"/>
  <c r="AL217" i="21"/>
  <c r="AL218"/>
  <c r="K144" i="29"/>
  <c r="Z221" i="21"/>
  <c r="K146" i="29"/>
  <c r="AH210" i="21"/>
  <c r="AA210"/>
  <c r="AQ210"/>
  <c r="AH211"/>
  <c r="AA211"/>
  <c r="AQ211"/>
  <c r="AH208"/>
  <c r="AA208"/>
  <c r="AQ208"/>
  <c r="Z200"/>
  <c r="K138" i="29"/>
  <c r="R198" i="21"/>
  <c r="R205"/>
  <c r="Z201"/>
  <c r="AO201"/>
  <c r="AK195"/>
  <c r="K136" i="29"/>
  <c r="AM185" i="21"/>
  <c r="AH188"/>
  <c r="AA188"/>
  <c r="AQ188"/>
  <c r="AB133"/>
  <c r="AF133"/>
  <c r="AC133"/>
  <c r="AD133"/>
  <c r="AK134"/>
  <c r="AT134"/>
  <c r="AK135"/>
  <c r="AT135"/>
  <c r="AL390"/>
  <c r="R152"/>
  <c r="R153"/>
  <c r="AR264"/>
  <c r="AS264"/>
  <c r="I364"/>
  <c r="I378"/>
  <c r="K113" i="29"/>
  <c r="Z115" i="21"/>
  <c r="AO115"/>
  <c r="Z315"/>
  <c r="AO315"/>
  <c r="Z316"/>
  <c r="AO316"/>
  <c r="Z317"/>
  <c r="AO317"/>
  <c r="AH167"/>
  <c r="AA167"/>
  <c r="AQ167"/>
  <c r="W211"/>
  <c r="AR211"/>
  <c r="Z160"/>
  <c r="AO160"/>
  <c r="Z224"/>
  <c r="AO224"/>
  <c r="AL256"/>
  <c r="Z340"/>
  <c r="AO340"/>
  <c r="AL371"/>
  <c r="AK372"/>
  <c r="AT372"/>
  <c r="AH147"/>
  <c r="AA147"/>
  <c r="AQ147"/>
  <c r="AK299"/>
  <c r="AT299"/>
  <c r="AK323"/>
  <c r="AT323"/>
  <c r="R176"/>
  <c r="K129" i="29"/>
  <c r="AK269" i="21"/>
  <c r="K98" i="29"/>
  <c r="AK113" i="21"/>
  <c r="AT113"/>
  <c r="AK115"/>
  <c r="AT115"/>
  <c r="Z179"/>
  <c r="AP179"/>
  <c r="AK313"/>
  <c r="AL329"/>
  <c r="AL330"/>
  <c r="AL409"/>
  <c r="AH186"/>
  <c r="AA186"/>
  <c r="AQ186"/>
  <c r="AH265"/>
  <c r="AA265"/>
  <c r="AQ265"/>
  <c r="AH321"/>
  <c r="AA321"/>
  <c r="AQ321"/>
  <c r="K106" i="29"/>
  <c r="AK217" i="21"/>
  <c r="AH309"/>
  <c r="AA309"/>
  <c r="AQ309"/>
  <c r="Z250"/>
  <c r="AO250"/>
  <c r="Z251"/>
  <c r="AO251"/>
  <c r="W186"/>
  <c r="AR186"/>
  <c r="R230"/>
  <c r="K147" i="29"/>
  <c r="AK272" i="21"/>
  <c r="AT272"/>
  <c r="Z110"/>
  <c r="AO110"/>
  <c r="AL135"/>
  <c r="AU135"/>
  <c r="Z253"/>
  <c r="AP253"/>
  <c r="AH145"/>
  <c r="AA145"/>
  <c r="AQ145"/>
  <c r="AH187"/>
  <c r="AA187"/>
  <c r="AQ187"/>
  <c r="AH229"/>
  <c r="AA229"/>
  <c r="AQ229"/>
  <c r="W266"/>
  <c r="AR266"/>
  <c r="AH269"/>
  <c r="AH322"/>
  <c r="AA322"/>
  <c r="AQ322"/>
  <c r="AH324"/>
  <c r="AA324"/>
  <c r="AQ324"/>
  <c r="P296"/>
  <c r="R286"/>
  <c r="R296"/>
  <c r="AR271"/>
  <c r="AS271"/>
  <c r="Z292"/>
  <c r="AO292"/>
  <c r="AK292"/>
  <c r="AT292"/>
  <c r="AO116"/>
  <c r="L106" i="29"/>
  <c r="Z341" i="21"/>
  <c r="AO341"/>
  <c r="AL341"/>
  <c r="AU341"/>
  <c r="AN316"/>
  <c r="AK369"/>
  <c r="Z369"/>
  <c r="AO369"/>
  <c r="Z101"/>
  <c r="L91" i="29"/>
  <c r="Z172" i="21"/>
  <c r="L127" i="29"/>
  <c r="K127"/>
  <c r="Z96" i="21"/>
  <c r="L86" i="29"/>
  <c r="AL96" i="21"/>
  <c r="AU96"/>
  <c r="AO132"/>
  <c r="L117" i="29"/>
  <c r="AB132" i="21"/>
  <c r="AF132"/>
  <c r="AC132"/>
  <c r="AM258"/>
  <c r="AN113"/>
  <c r="AK90"/>
  <c r="K99" i="29"/>
  <c r="AK280" i="21"/>
  <c r="AT280"/>
  <c r="P284"/>
  <c r="P337"/>
  <c r="AM306"/>
  <c r="AL308"/>
  <c r="Z391"/>
  <c r="L205" i="29"/>
  <c r="AK112" i="21"/>
  <c r="AT112"/>
  <c r="Z385"/>
  <c r="AH385"/>
  <c r="AK133"/>
  <c r="AT133"/>
  <c r="Z248"/>
  <c r="AH248"/>
  <c r="AL253"/>
  <c r="AU253"/>
  <c r="Z355"/>
  <c r="AO355"/>
  <c r="Z367"/>
  <c r="AO367"/>
  <c r="AL143"/>
  <c r="AK144"/>
  <c r="J124" i="29"/>
  <c r="K27" i="30"/>
  <c r="W188" i="21"/>
  <c r="AS188"/>
  <c r="R212"/>
  <c r="K140" i="29"/>
  <c r="W208" i="21"/>
  <c r="AS208"/>
  <c r="AH270"/>
  <c r="AA270"/>
  <c r="AQ270"/>
  <c r="K100" i="29"/>
  <c r="AK132" i="21"/>
  <c r="K117" i="29"/>
  <c r="AW389" i="21"/>
  <c r="R118"/>
  <c r="AL112"/>
  <c r="AU112"/>
  <c r="AL133"/>
  <c r="AU133"/>
  <c r="P359"/>
  <c r="AK241"/>
  <c r="AT241"/>
  <c r="P353"/>
  <c r="AN306"/>
  <c r="AW306"/>
  <c r="AK308"/>
  <c r="R310"/>
  <c r="AK107"/>
  <c r="AH116"/>
  <c r="AA116"/>
  <c r="N106" i="29"/>
  <c r="AH134" i="21"/>
  <c r="AL177"/>
  <c r="AU177"/>
  <c r="AK202"/>
  <c r="AT202"/>
  <c r="Z222"/>
  <c r="AO222"/>
  <c r="Z257"/>
  <c r="AB257"/>
  <c r="Z372"/>
  <c r="AH372"/>
  <c r="AA372"/>
  <c r="AH164"/>
  <c r="AA164"/>
  <c r="AQ164"/>
  <c r="AK264"/>
  <c r="AT264"/>
  <c r="AL266"/>
  <c r="AU266"/>
  <c r="AH298"/>
  <c r="W299"/>
  <c r="AR299"/>
  <c r="AH301"/>
  <c r="AA301"/>
  <c r="AQ301"/>
  <c r="R325"/>
  <c r="K175" i="29"/>
  <c r="K101"/>
  <c r="AL178" i="21"/>
  <c r="K130" i="29"/>
  <c r="Z173" i="21"/>
  <c r="L128" i="29"/>
  <c r="K128"/>
  <c r="AL144" i="21"/>
  <c r="Z100"/>
  <c r="AM150"/>
  <c r="I245"/>
  <c r="I274"/>
  <c r="AL391"/>
  <c r="AU391"/>
  <c r="AH109"/>
  <c r="AA109"/>
  <c r="AB109"/>
  <c r="O99" i="29"/>
  <c r="AL136" i="21"/>
  <c r="AU136"/>
  <c r="AK177"/>
  <c r="AT177"/>
  <c r="AM178"/>
  <c r="AL248"/>
  <c r="AU248"/>
  <c r="AK293"/>
  <c r="AT293"/>
  <c r="AK257"/>
  <c r="AT257"/>
  <c r="AK373"/>
  <c r="AT373"/>
  <c r="W145"/>
  <c r="AR145"/>
  <c r="AH185"/>
  <c r="AK186"/>
  <c r="AK188"/>
  <c r="AT188"/>
  <c r="AK208"/>
  <c r="AT208"/>
  <c r="AK266"/>
  <c r="AT266"/>
  <c r="AH302"/>
  <c r="AA302"/>
  <c r="AQ302"/>
  <c r="AL271"/>
  <c r="AU271"/>
  <c r="R273"/>
  <c r="K160" i="29"/>
  <c r="K102"/>
  <c r="J119"/>
  <c r="AL97" i="21"/>
  <c r="AU97"/>
  <c r="R127"/>
  <c r="AL127"/>
  <c r="AW150"/>
  <c r="Z195"/>
  <c r="AP195"/>
  <c r="Z113"/>
  <c r="AH113"/>
  <c r="AA113"/>
  <c r="N103" i="29"/>
  <c r="AK136" i="21"/>
  <c r="AT136"/>
  <c r="R155"/>
  <c r="R161"/>
  <c r="K123" i="29"/>
  <c r="Z258" i="21"/>
  <c r="Z366"/>
  <c r="Z313"/>
  <c r="AP313"/>
  <c r="AK314"/>
  <c r="AT314"/>
  <c r="I318"/>
  <c r="I326"/>
  <c r="I331"/>
  <c r="AH144"/>
  <c r="AA144"/>
  <c r="AQ144"/>
  <c r="W147"/>
  <c r="AR147"/>
  <c r="P303"/>
  <c r="W269"/>
  <c r="AK271"/>
  <c r="AT271"/>
  <c r="AK320"/>
  <c r="K97" i="29"/>
  <c r="K103"/>
  <c r="L98"/>
  <c r="K104"/>
  <c r="Z137" i="21"/>
  <c r="AP137"/>
  <c r="K118" i="29"/>
  <c r="AH182" i="21"/>
  <c r="AA182"/>
  <c r="AQ182"/>
  <c r="AM250"/>
  <c r="AH252"/>
  <c r="AA252"/>
  <c r="AQ252"/>
  <c r="AL258"/>
  <c r="AU258"/>
  <c r="P345"/>
  <c r="AS144"/>
  <c r="Z92"/>
  <c r="AM192"/>
  <c r="AL195"/>
  <c r="AU195"/>
  <c r="I337"/>
  <c r="I349"/>
  <c r="AM389"/>
  <c r="AH108"/>
  <c r="AA108"/>
  <c r="AB108"/>
  <c r="J123" i="29"/>
  <c r="J27" i="30"/>
  <c r="Z178" i="21"/>
  <c r="AH178"/>
  <c r="AA178"/>
  <c r="Z203"/>
  <c r="AO203"/>
  <c r="AK225"/>
  <c r="AT225"/>
  <c r="P374"/>
  <c r="AK145"/>
  <c r="AT145"/>
  <c r="P168"/>
  <c r="AL185"/>
  <c r="AH263"/>
  <c r="AA263"/>
  <c r="AQ263"/>
  <c r="K105" i="29"/>
  <c r="L97"/>
  <c r="J108"/>
  <c r="J24" i="30"/>
  <c r="J207" i="29"/>
  <c r="C41" i="30"/>
  <c r="J95" i="29"/>
  <c r="I24" i="30"/>
  <c r="Z94" i="21"/>
  <c r="L84" i="29"/>
  <c r="AK94" i="21"/>
  <c r="AT94"/>
  <c r="AL94"/>
  <c r="AU94"/>
  <c r="AK124"/>
  <c r="AT124"/>
  <c r="AL124"/>
  <c r="AU124"/>
  <c r="Z124"/>
  <c r="P364"/>
  <c r="R363"/>
  <c r="K192" i="29"/>
  <c r="Z88" i="21"/>
  <c r="L78" i="29"/>
  <c r="AK88" i="21"/>
  <c r="AT88"/>
  <c r="AL88"/>
  <c r="AU88"/>
  <c r="AL89"/>
  <c r="AU89"/>
  <c r="Z89"/>
  <c r="L79" i="29"/>
  <c r="AK89" i="21"/>
  <c r="AT89"/>
  <c r="Z95"/>
  <c r="L85" i="29"/>
  <c r="AK95" i="21"/>
  <c r="AT95"/>
  <c r="AL95"/>
  <c r="AU95"/>
  <c r="AK235"/>
  <c r="AT235"/>
  <c r="AL235"/>
  <c r="AU235"/>
  <c r="Z235"/>
  <c r="AB235"/>
  <c r="AN241"/>
  <c r="Z279"/>
  <c r="AK279"/>
  <c r="AT279"/>
  <c r="AL279"/>
  <c r="AU279"/>
  <c r="R105"/>
  <c r="Z87"/>
  <c r="L77" i="29"/>
  <c r="AK87" i="21"/>
  <c r="AL87"/>
  <c r="Z104"/>
  <c r="L94" i="29"/>
  <c r="AK104" i="21"/>
  <c r="AT104"/>
  <c r="AL104"/>
  <c r="AU104"/>
  <c r="K245"/>
  <c r="K274"/>
  <c r="R234"/>
  <c r="K150" i="29"/>
  <c r="AO236" i="21"/>
  <c r="AP236"/>
  <c r="Z237"/>
  <c r="AB237"/>
  <c r="AK237"/>
  <c r="AT237"/>
  <c r="AL237"/>
  <c r="AU237"/>
  <c r="Z238"/>
  <c r="AK238"/>
  <c r="AT238"/>
  <c r="AL238"/>
  <c r="AU238"/>
  <c r="Z239"/>
  <c r="AB239"/>
  <c r="AF239"/>
  <c r="AC239"/>
  <c r="AK239"/>
  <c r="AT239"/>
  <c r="AL239"/>
  <c r="AU239"/>
  <c r="Z240"/>
  <c r="AK240"/>
  <c r="AT240"/>
  <c r="AL240"/>
  <c r="AU240"/>
  <c r="AH281"/>
  <c r="AA281"/>
  <c r="N164" i="29"/>
  <c r="AK281" i="21"/>
  <c r="AT281"/>
  <c r="AL281"/>
  <c r="AU281"/>
  <c r="Z281"/>
  <c r="AO282"/>
  <c r="AP282"/>
  <c r="Z283"/>
  <c r="AK283"/>
  <c r="AT283"/>
  <c r="AL283"/>
  <c r="AU283"/>
  <c r="AW214"/>
  <c r="Z10"/>
  <c r="AB10"/>
  <c r="AL98"/>
  <c r="AU98"/>
  <c r="Z98"/>
  <c r="L88" i="29"/>
  <c r="AK98" i="21"/>
  <c r="AT98"/>
  <c r="Z128"/>
  <c r="L115" i="29"/>
  <c r="AK128" i="21"/>
  <c r="AT128"/>
  <c r="AL128"/>
  <c r="AU128"/>
  <c r="AO125"/>
  <c r="AP125"/>
  <c r="Z126"/>
  <c r="AK126"/>
  <c r="AT126"/>
  <c r="AL126"/>
  <c r="AU126"/>
  <c r="AM242"/>
  <c r="AK243"/>
  <c r="AT243"/>
  <c r="AL243"/>
  <c r="AU243"/>
  <c r="Z243"/>
  <c r="AO280"/>
  <c r="AP280"/>
  <c r="AN110"/>
  <c r="AM111"/>
  <c r="AM138"/>
  <c r="AN139"/>
  <c r="AO140"/>
  <c r="AP140"/>
  <c r="AM179"/>
  <c r="AO295"/>
  <c r="AP295"/>
  <c r="AM256"/>
  <c r="R174"/>
  <c r="R392"/>
  <c r="AO182"/>
  <c r="AP182"/>
  <c r="AN202"/>
  <c r="AM203"/>
  <c r="AP252"/>
  <c r="AO252"/>
  <c r="AO259"/>
  <c r="AP259"/>
  <c r="Z90"/>
  <c r="L80" i="29"/>
  <c r="Z91" i="21"/>
  <c r="L81" i="29"/>
  <c r="AK96" i="21"/>
  <c r="AT96"/>
  <c r="AK97"/>
  <c r="AT97"/>
  <c r="R382"/>
  <c r="Z242"/>
  <c r="AL278"/>
  <c r="AU278"/>
  <c r="AB280"/>
  <c r="R335"/>
  <c r="K182" i="29"/>
  <c r="AN389" i="21"/>
  <c r="AP293"/>
  <c r="AB293"/>
  <c r="AO293"/>
  <c r="AM340"/>
  <c r="Z357"/>
  <c r="AB357"/>
  <c r="AK357"/>
  <c r="AL357"/>
  <c r="Z358"/>
  <c r="AB358"/>
  <c r="AK358"/>
  <c r="AT358"/>
  <c r="AL358"/>
  <c r="AU358"/>
  <c r="AN373"/>
  <c r="AM315"/>
  <c r="AN170"/>
  <c r="R194"/>
  <c r="K135" i="29"/>
  <c r="Z217" i="21"/>
  <c r="L144" i="29"/>
  <c r="R218" i="21"/>
  <c r="AG235"/>
  <c r="AG245"/>
  <c r="Z241"/>
  <c r="AB241"/>
  <c r="AK278"/>
  <c r="AT278"/>
  <c r="AH114"/>
  <c r="AA114"/>
  <c r="AB114"/>
  <c r="O104" i="29"/>
  <c r="AB136" i="21"/>
  <c r="AO136"/>
  <c r="AP136"/>
  <c r="AN314"/>
  <c r="AL103"/>
  <c r="AU103"/>
  <c r="AL309"/>
  <c r="AU309"/>
  <c r="AP114"/>
  <c r="AO114"/>
  <c r="Z117"/>
  <c r="L107" i="29"/>
  <c r="AK117" i="21"/>
  <c r="AT117"/>
  <c r="AL117"/>
  <c r="AU117"/>
  <c r="Z156"/>
  <c r="AB156"/>
  <c r="AK156"/>
  <c r="AT156"/>
  <c r="AL156"/>
  <c r="AU156"/>
  <c r="Z157"/>
  <c r="AB157"/>
  <c r="AK157"/>
  <c r="AL157"/>
  <c r="Z158"/>
  <c r="AB158"/>
  <c r="AK158"/>
  <c r="AT158"/>
  <c r="AL158"/>
  <c r="AU158"/>
  <c r="AK159"/>
  <c r="AT159"/>
  <c r="AL159"/>
  <c r="AU159"/>
  <c r="Z159"/>
  <c r="AH159"/>
  <c r="AA159"/>
  <c r="AQ159"/>
  <c r="AM160"/>
  <c r="AM367"/>
  <c r="AL92"/>
  <c r="AL93"/>
  <c r="AU93"/>
  <c r="AL102"/>
  <c r="AU102"/>
  <c r="AK103"/>
  <c r="AT103"/>
  <c r="AL125"/>
  <c r="AU125"/>
  <c r="AL172"/>
  <c r="AL173"/>
  <c r="AU173"/>
  <c r="AN192"/>
  <c r="AE235"/>
  <c r="AE245"/>
  <c r="AL236"/>
  <c r="AU236"/>
  <c r="AL244"/>
  <c r="AU244"/>
  <c r="AL282"/>
  <c r="AU282"/>
  <c r="AL336"/>
  <c r="AU336"/>
  <c r="AL352"/>
  <c r="AK309"/>
  <c r="AT309"/>
  <c r="AN115"/>
  <c r="AM222"/>
  <c r="AN225"/>
  <c r="AO290"/>
  <c r="AP290"/>
  <c r="AN257"/>
  <c r="R11"/>
  <c r="AL91"/>
  <c r="AU91"/>
  <c r="AK92"/>
  <c r="AK93"/>
  <c r="AT93"/>
  <c r="AL101"/>
  <c r="AU101"/>
  <c r="AK102"/>
  <c r="AT102"/>
  <c r="AL381"/>
  <c r="AK125"/>
  <c r="AT125"/>
  <c r="AK172"/>
  <c r="AK173"/>
  <c r="AT173"/>
  <c r="AN214"/>
  <c r="AK236"/>
  <c r="AT236"/>
  <c r="AK244"/>
  <c r="AT244"/>
  <c r="S245"/>
  <c r="S429"/>
  <c r="AK282"/>
  <c r="AT282"/>
  <c r="AK336"/>
  <c r="AT336"/>
  <c r="AK352"/>
  <c r="AH180"/>
  <c r="AA180"/>
  <c r="AQ180"/>
  <c r="AO134"/>
  <c r="AP134"/>
  <c r="AO289"/>
  <c r="AP289"/>
  <c r="AL90"/>
  <c r="AU90"/>
  <c r="AK91"/>
  <c r="AT91"/>
  <c r="AL100"/>
  <c r="AU100"/>
  <c r="AK101"/>
  <c r="AT101"/>
  <c r="AK381"/>
  <c r="AB125"/>
  <c r="AF125"/>
  <c r="AC125"/>
  <c r="AN150"/>
  <c r="AM214"/>
  <c r="AB236"/>
  <c r="AL242"/>
  <c r="AU242"/>
  <c r="AB282"/>
  <c r="AO109"/>
  <c r="AP109"/>
  <c r="AP180"/>
  <c r="AO180"/>
  <c r="AO288"/>
  <c r="AP288"/>
  <c r="Z343"/>
  <c r="AK343"/>
  <c r="AT343"/>
  <c r="AL343"/>
  <c r="AU343"/>
  <c r="Z344"/>
  <c r="AK344"/>
  <c r="AT344"/>
  <c r="AL344"/>
  <c r="AU344"/>
  <c r="Z352"/>
  <c r="L188" i="29"/>
  <c r="Z309" i="21"/>
  <c r="AR265"/>
  <c r="AS265"/>
  <c r="AN272"/>
  <c r="AL109"/>
  <c r="AU109"/>
  <c r="AK110"/>
  <c r="AT110"/>
  <c r="AO133"/>
  <c r="AO135"/>
  <c r="Z138"/>
  <c r="AB138"/>
  <c r="AF138"/>
  <c r="AC138"/>
  <c r="AK139"/>
  <c r="AT139"/>
  <c r="AL140"/>
  <c r="AU140"/>
  <c r="AG221"/>
  <c r="AG226"/>
  <c r="AL146"/>
  <c r="AU146"/>
  <c r="W146"/>
  <c r="R148"/>
  <c r="K119" i="29"/>
  <c r="AK146" i="21"/>
  <c r="AT146"/>
  <c r="AH166"/>
  <c r="AA166"/>
  <c r="AQ166"/>
  <c r="W166"/>
  <c r="AK166"/>
  <c r="AT166"/>
  <c r="AL166"/>
  <c r="AU166"/>
  <c r="AL108"/>
  <c r="AU108"/>
  <c r="AK109"/>
  <c r="AT109"/>
  <c r="AH112"/>
  <c r="AA112"/>
  <c r="AP112"/>
  <c r="AL116"/>
  <c r="AU116"/>
  <c r="Z139"/>
  <c r="AB140"/>
  <c r="AK140"/>
  <c r="AT140"/>
  <c r="AL182"/>
  <c r="AU182"/>
  <c r="AL200"/>
  <c r="AU200"/>
  <c r="AK201"/>
  <c r="AT201"/>
  <c r="Z204"/>
  <c r="AL223"/>
  <c r="AU223"/>
  <c r="AK224"/>
  <c r="AT224"/>
  <c r="S226"/>
  <c r="S231"/>
  <c r="S405"/>
  <c r="AL294"/>
  <c r="AU294"/>
  <c r="AL295"/>
  <c r="AU295"/>
  <c r="R260"/>
  <c r="K159" i="29"/>
  <c r="AK341" i="21"/>
  <c r="AT341"/>
  <c r="AK355"/>
  <c r="AL312"/>
  <c r="AE409"/>
  <c r="AN167"/>
  <c r="AN187"/>
  <c r="AM321"/>
  <c r="AR324"/>
  <c r="AS324"/>
  <c r="AL107"/>
  <c r="AK108"/>
  <c r="AT108"/>
  <c r="Z111"/>
  <c r="L101" i="29"/>
  <c r="AO112" i="21"/>
  <c r="AK116"/>
  <c r="AT116"/>
  <c r="AL132"/>
  <c r="AU132"/>
  <c r="AL134"/>
  <c r="AU134"/>
  <c r="Z177"/>
  <c r="L131" i="29"/>
  <c r="AL181" i="21"/>
  <c r="AU181"/>
  <c r="AK182"/>
  <c r="AT182"/>
  <c r="AL199"/>
  <c r="AU199"/>
  <c r="AK200"/>
  <c r="AT200"/>
  <c r="R220"/>
  <c r="K145" i="29"/>
  <c r="AE221" i="21"/>
  <c r="AE226"/>
  <c r="AL222"/>
  <c r="AU222"/>
  <c r="AK223"/>
  <c r="AT223"/>
  <c r="Z249"/>
  <c r="AN251"/>
  <c r="AK294"/>
  <c r="AT294"/>
  <c r="AB295"/>
  <c r="AK295"/>
  <c r="AT295"/>
  <c r="AL339"/>
  <c r="AL340"/>
  <c r="AU340"/>
  <c r="AL366"/>
  <c r="AL367"/>
  <c r="AU367"/>
  <c r="AL368"/>
  <c r="AU368"/>
  <c r="AL369"/>
  <c r="AU369"/>
  <c r="AK371"/>
  <c r="AT371"/>
  <c r="R374"/>
  <c r="AK312"/>
  <c r="AN317"/>
  <c r="AN186"/>
  <c r="AK300"/>
  <c r="AT300"/>
  <c r="AL300"/>
  <c r="AU300"/>
  <c r="AH300"/>
  <c r="AA300"/>
  <c r="AQ300"/>
  <c r="W300"/>
  <c r="AL114"/>
  <c r="AU114"/>
  <c r="AL386"/>
  <c r="AU386"/>
  <c r="AL180"/>
  <c r="AU180"/>
  <c r="AK181"/>
  <c r="AT181"/>
  <c r="AK199"/>
  <c r="AT199"/>
  <c r="Z202"/>
  <c r="AL221"/>
  <c r="AU221"/>
  <c r="Z225"/>
  <c r="AH225"/>
  <c r="AA225"/>
  <c r="AQ225"/>
  <c r="AG249"/>
  <c r="AG254"/>
  <c r="AL252"/>
  <c r="AU252"/>
  <c r="AL291"/>
  <c r="AU291"/>
  <c r="AL292"/>
  <c r="AU292"/>
  <c r="AL293"/>
  <c r="AU293"/>
  <c r="AB339"/>
  <c r="AK339"/>
  <c r="R342"/>
  <c r="R356"/>
  <c r="Z373"/>
  <c r="Z312"/>
  <c r="L173" i="29"/>
  <c r="Z314" i="21"/>
  <c r="AH314"/>
  <c r="AA314"/>
  <c r="AQ314"/>
  <c r="AN188"/>
  <c r="AN208"/>
  <c r="AR270"/>
  <c r="AS270"/>
  <c r="AN323"/>
  <c r="AK390"/>
  <c r="AK114"/>
  <c r="AT114"/>
  <c r="AL385"/>
  <c r="AU385"/>
  <c r="AK386"/>
  <c r="AT386"/>
  <c r="R131"/>
  <c r="K116" i="29"/>
  <c r="AB135" i="21"/>
  <c r="AK180"/>
  <c r="AT180"/>
  <c r="AK221"/>
  <c r="AT221"/>
  <c r="AK252"/>
  <c r="AT252"/>
  <c r="AK291"/>
  <c r="AT291"/>
  <c r="AR298"/>
  <c r="AS298"/>
  <c r="AN299"/>
  <c r="AK301"/>
  <c r="AT301"/>
  <c r="AL301"/>
  <c r="AU301"/>
  <c r="W301"/>
  <c r="AP108"/>
  <c r="AP116"/>
  <c r="AL384"/>
  <c r="AL137"/>
  <c r="AU137"/>
  <c r="AL204"/>
  <c r="AU204"/>
  <c r="AR221"/>
  <c r="AR226"/>
  <c r="Z223"/>
  <c r="AE249"/>
  <c r="AE254"/>
  <c r="AL250"/>
  <c r="AU250"/>
  <c r="AK251"/>
  <c r="AT251"/>
  <c r="AL287"/>
  <c r="AU287"/>
  <c r="AL288"/>
  <c r="AU288"/>
  <c r="AL289"/>
  <c r="AU289"/>
  <c r="AL290"/>
  <c r="AU290"/>
  <c r="Z294"/>
  <c r="AL259"/>
  <c r="AU259"/>
  <c r="AK317"/>
  <c r="AT317"/>
  <c r="AN145"/>
  <c r="AM147"/>
  <c r="AR302"/>
  <c r="AS302"/>
  <c r="I392"/>
  <c r="AH107"/>
  <c r="AP107"/>
  <c r="AL111"/>
  <c r="AU111"/>
  <c r="AK384"/>
  <c r="AP132"/>
  <c r="AK137"/>
  <c r="AT137"/>
  <c r="AL138"/>
  <c r="AU138"/>
  <c r="AL160"/>
  <c r="AU160"/>
  <c r="Z181"/>
  <c r="Z199"/>
  <c r="L139" i="29"/>
  <c r="AN201" i="21"/>
  <c r="AL203"/>
  <c r="AU203"/>
  <c r="AK204"/>
  <c r="AT204"/>
  <c r="AN224"/>
  <c r="AL249"/>
  <c r="AU249"/>
  <c r="AK287"/>
  <c r="AT287"/>
  <c r="AB288"/>
  <c r="AF288"/>
  <c r="AC288"/>
  <c r="AK288"/>
  <c r="AT288"/>
  <c r="AB289"/>
  <c r="AF289"/>
  <c r="AC289"/>
  <c r="AK289"/>
  <c r="AT289"/>
  <c r="AB290"/>
  <c r="AK290"/>
  <c r="AT290"/>
  <c r="AB259"/>
  <c r="AK259"/>
  <c r="AT259"/>
  <c r="AP339"/>
  <c r="AN355"/>
  <c r="AL315"/>
  <c r="AU315"/>
  <c r="AK316"/>
  <c r="AT316"/>
  <c r="AK329"/>
  <c r="AH146"/>
  <c r="AA146"/>
  <c r="AQ146"/>
  <c r="AN163"/>
  <c r="AH165"/>
  <c r="AA165"/>
  <c r="AQ165"/>
  <c r="W165"/>
  <c r="AK165"/>
  <c r="AT165"/>
  <c r="AL165"/>
  <c r="AU165"/>
  <c r="AN269"/>
  <c r="Z384"/>
  <c r="AK163"/>
  <c r="AK167"/>
  <c r="AT167"/>
  <c r="AK187"/>
  <c r="AT187"/>
  <c r="AK207"/>
  <c r="W210"/>
  <c r="W263"/>
  <c r="W376"/>
  <c r="M196" i="29"/>
  <c r="M197"/>
  <c r="AH376" i="21"/>
  <c r="AH377"/>
  <c r="R377"/>
  <c r="AR320"/>
  <c r="W322"/>
  <c r="R190"/>
  <c r="K132" i="29"/>
  <c r="W228" i="21"/>
  <c r="AH228"/>
  <c r="AH230"/>
  <c r="W262"/>
  <c r="AH262"/>
  <c r="W321"/>
  <c r="R168"/>
  <c r="K124" i="29"/>
  <c r="AN210" i="21"/>
  <c r="AM211"/>
  <c r="AM229"/>
  <c r="AN263"/>
  <c r="AL265"/>
  <c r="AU265"/>
  <c r="AL298"/>
  <c r="AL302"/>
  <c r="AU302"/>
  <c r="AL270"/>
  <c r="AU270"/>
  <c r="AN322"/>
  <c r="AL324"/>
  <c r="AU324"/>
  <c r="AK143"/>
  <c r="W163"/>
  <c r="AH163"/>
  <c r="W167"/>
  <c r="W187"/>
  <c r="W207"/>
  <c r="AH207"/>
  <c r="AL211"/>
  <c r="AU211"/>
  <c r="AL229"/>
  <c r="AU229"/>
  <c r="AL264"/>
  <c r="AU264"/>
  <c r="AK265"/>
  <c r="AT265"/>
  <c r="AK298"/>
  <c r="AK302"/>
  <c r="AT302"/>
  <c r="AK270"/>
  <c r="AT270"/>
  <c r="AK324"/>
  <c r="AT324"/>
  <c r="P49" i="29"/>
  <c r="P50"/>
  <c r="AL164" i="21"/>
  <c r="AU164"/>
  <c r="W185"/>
  <c r="AL189"/>
  <c r="AU189"/>
  <c r="AL209"/>
  <c r="AU209"/>
  <c r="AK210"/>
  <c r="AT210"/>
  <c r="AL228"/>
  <c r="AL262"/>
  <c r="AK263"/>
  <c r="AT263"/>
  <c r="R267"/>
  <c r="K157" i="29"/>
  <c r="R303" i="21"/>
  <c r="K168" i="29"/>
  <c r="AK376" i="21"/>
  <c r="AL321"/>
  <c r="AU321"/>
  <c r="AK322"/>
  <c r="AT322"/>
  <c r="W143"/>
  <c r="AL147"/>
  <c r="AU147"/>
  <c r="AK164"/>
  <c r="AT164"/>
  <c r="AS164"/>
  <c r="AK189"/>
  <c r="AT189"/>
  <c r="AS189"/>
  <c r="AK209"/>
  <c r="AT209"/>
  <c r="AS209"/>
  <c r="AK228"/>
  <c r="AK262"/>
  <c r="AL320"/>
  <c r="AL207"/>
  <c r="BB56" i="23"/>
  <c r="BC56"/>
  <c r="BD56"/>
  <c r="BE56"/>
  <c r="BF56"/>
  <c r="BG56"/>
  <c r="BH56"/>
  <c r="BI56"/>
  <c r="BJ56"/>
  <c r="BK56"/>
  <c r="BL56"/>
  <c r="BM56"/>
  <c r="B96" i="17"/>
  <c r="G96"/>
  <c r="H16" i="4"/>
  <c r="H13"/>
  <c r="H12"/>
  <c r="H10"/>
  <c r="H9"/>
  <c r="H7"/>
  <c r="G16" i="24"/>
  <c r="K17" i="32"/>
  <c r="N5" i="24"/>
  <c r="N15"/>
  <c r="M15"/>
  <c r="F16"/>
  <c r="H6"/>
  <c r="O35" i="32"/>
  <c r="L35"/>
  <c r="H11" i="24"/>
  <c r="P11"/>
  <c r="M34" i="32"/>
  <c r="J34"/>
  <c r="K34"/>
  <c r="K32"/>
  <c r="F3" i="24"/>
  <c r="BE22" i="23"/>
  <c r="F14" i="24"/>
  <c r="G3"/>
  <c r="BF22" i="23"/>
  <c r="AD8" i="33"/>
  <c r="AE8"/>
  <c r="E9" i="24"/>
  <c r="F8"/>
  <c r="AN22" i="23"/>
  <c r="F37" i="32"/>
  <c r="H36"/>
  <c r="G40"/>
  <c r="AD9" i="33"/>
  <c r="AE9"/>
  <c r="AC19"/>
  <c r="X20"/>
  <c r="G13"/>
  <c r="H12"/>
  <c r="X12"/>
  <c r="W13"/>
  <c r="Q12"/>
  <c r="R11"/>
  <c r="AB18"/>
  <c r="J13"/>
  <c r="I14"/>
  <c r="Z10"/>
  <c r="AC10"/>
  <c r="Y11"/>
  <c r="M11"/>
  <c r="P13"/>
  <c r="O14"/>
  <c r="M22" i="32"/>
  <c r="M23"/>
  <c r="O22"/>
  <c r="O23"/>
  <c r="T10" i="24"/>
  <c r="U10"/>
  <c r="AI191" i="21"/>
  <c r="AI403"/>
  <c r="AJ349"/>
  <c r="AJ421"/>
  <c r="AE40"/>
  <c r="AE398"/>
  <c r="AG191"/>
  <c r="AG403"/>
  <c r="AG231"/>
  <c r="AR414"/>
  <c r="AJ414"/>
  <c r="AJ169"/>
  <c r="AJ402"/>
  <c r="AI304"/>
  <c r="AI407"/>
  <c r="AI149"/>
  <c r="AI401"/>
  <c r="AJ213"/>
  <c r="AJ404"/>
  <c r="AI413"/>
  <c r="AI231"/>
  <c r="AI405"/>
  <c r="AG304"/>
  <c r="AG407"/>
  <c r="AG149"/>
  <c r="AJ413"/>
  <c r="AJ422"/>
  <c r="AR422"/>
  <c r="AR413"/>
  <c r="AT390"/>
  <c r="AT392"/>
  <c r="AK392"/>
  <c r="AU390"/>
  <c r="AU392"/>
  <c r="AL392"/>
  <c r="AI414"/>
  <c r="AI423"/>
  <c r="AS395"/>
  <c r="AR417"/>
  <c r="AG169"/>
  <c r="AG402"/>
  <c r="AS414"/>
  <c r="AS423"/>
  <c r="AS413"/>
  <c r="AS422"/>
  <c r="AT384"/>
  <c r="AT387"/>
  <c r="AK387"/>
  <c r="AU384"/>
  <c r="AU387"/>
  <c r="AL387"/>
  <c r="AT381"/>
  <c r="AT382"/>
  <c r="AK382"/>
  <c r="AU381"/>
  <c r="AU382"/>
  <c r="AL382"/>
  <c r="AH212"/>
  <c r="AU376"/>
  <c r="AU377"/>
  <c r="AL377"/>
  <c r="AT376"/>
  <c r="AT377"/>
  <c r="AK377"/>
  <c r="AR410"/>
  <c r="AU366"/>
  <c r="AL374"/>
  <c r="AJ326"/>
  <c r="AJ408"/>
  <c r="AT366"/>
  <c r="AK374"/>
  <c r="AG326"/>
  <c r="AG331"/>
  <c r="AT355"/>
  <c r="AW355"/>
  <c r="AI421"/>
  <c r="AT352"/>
  <c r="AT353"/>
  <c r="AK353"/>
  <c r="AU352"/>
  <c r="AU353"/>
  <c r="AL353"/>
  <c r="AI326"/>
  <c r="AI331"/>
  <c r="AI420"/>
  <c r="AT329"/>
  <c r="AT330"/>
  <c r="AT409"/>
  <c r="AK330"/>
  <c r="AK409"/>
  <c r="AG213"/>
  <c r="AT320"/>
  <c r="AT325"/>
  <c r="AK325"/>
  <c r="AA320"/>
  <c r="AQ320"/>
  <c r="AQ325"/>
  <c r="AH325"/>
  <c r="AU320"/>
  <c r="AU325"/>
  <c r="AL325"/>
  <c r="AU312"/>
  <c r="AU318"/>
  <c r="AL318"/>
  <c r="AT312"/>
  <c r="AK318"/>
  <c r="AU308"/>
  <c r="AU310"/>
  <c r="AL310"/>
  <c r="AT308"/>
  <c r="AT310"/>
  <c r="AK310"/>
  <c r="AA308"/>
  <c r="AQ308"/>
  <c r="AQ310"/>
  <c r="AH310"/>
  <c r="AJ304"/>
  <c r="AJ407"/>
  <c r="AT298"/>
  <c r="AT303"/>
  <c r="AK303"/>
  <c r="AU298"/>
  <c r="AU303"/>
  <c r="AL303"/>
  <c r="AA298"/>
  <c r="AB298"/>
  <c r="AE298"/>
  <c r="AH303"/>
  <c r="AG274"/>
  <c r="AG406"/>
  <c r="AJ274"/>
  <c r="AJ406"/>
  <c r="AA269"/>
  <c r="AQ269"/>
  <c r="AQ273"/>
  <c r="AH273"/>
  <c r="AH267"/>
  <c r="AI274"/>
  <c r="AI406"/>
  <c r="AU273"/>
  <c r="AL273"/>
  <c r="AT269"/>
  <c r="AT273"/>
  <c r="AK273"/>
  <c r="AT262"/>
  <c r="AT267"/>
  <c r="AK267"/>
  <c r="AU262"/>
  <c r="AU267"/>
  <c r="AL267"/>
  <c r="AK260"/>
  <c r="AU256"/>
  <c r="AU260"/>
  <c r="AL260"/>
  <c r="AT260"/>
  <c r="AI213"/>
  <c r="AI404"/>
  <c r="AU228"/>
  <c r="AU230"/>
  <c r="AL230"/>
  <c r="AT228"/>
  <c r="AT230"/>
  <c r="AK230"/>
  <c r="AJ149"/>
  <c r="AJ401"/>
  <c r="AC34"/>
  <c r="AC40"/>
  <c r="AC398"/>
  <c r="AI169"/>
  <c r="AI402"/>
  <c r="AJ191"/>
  <c r="AJ403"/>
  <c r="AT217"/>
  <c r="AT218"/>
  <c r="AK218"/>
  <c r="AU207"/>
  <c r="AU212"/>
  <c r="AL212"/>
  <c r="AT207"/>
  <c r="AT212"/>
  <c r="AK212"/>
  <c r="AK190"/>
  <c r="AA185"/>
  <c r="AQ185"/>
  <c r="AQ190"/>
  <c r="AH190"/>
  <c r="AL190"/>
  <c r="AH168"/>
  <c r="AE119"/>
  <c r="AT172"/>
  <c r="AT174"/>
  <c r="AK174"/>
  <c r="AU172"/>
  <c r="AU174"/>
  <c r="AL174"/>
  <c r="AT163"/>
  <c r="AT168"/>
  <c r="AK168"/>
  <c r="AU168"/>
  <c r="AL168"/>
  <c r="AJ119"/>
  <c r="AJ418"/>
  <c r="O213" i="29"/>
  <c r="AR119" i="21"/>
  <c r="AR400"/>
  <c r="AT143"/>
  <c r="AK148"/>
  <c r="AA143"/>
  <c r="AA148"/>
  <c r="AH148"/>
  <c r="AL148"/>
  <c r="AA134"/>
  <c r="N117" i="29"/>
  <c r="AH141" i="21"/>
  <c r="AS119"/>
  <c r="AS418"/>
  <c r="AW432"/>
  <c r="U74" i="20"/>
  <c r="AG119" i="21"/>
  <c r="AU107"/>
  <c r="AU118"/>
  <c r="AL118"/>
  <c r="AT107"/>
  <c r="AT118"/>
  <c r="AK118"/>
  <c r="AI418"/>
  <c r="AI400"/>
  <c r="AT87"/>
  <c r="AK105"/>
  <c r="AU87"/>
  <c r="AL105"/>
  <c r="AE84"/>
  <c r="AE399"/>
  <c r="AR395"/>
  <c r="AE32"/>
  <c r="AE397"/>
  <c r="AS417"/>
  <c r="AQ395"/>
  <c r="AQ417"/>
  <c r="AC16"/>
  <c r="AF17"/>
  <c r="T433"/>
  <c r="AD30"/>
  <c r="S430"/>
  <c r="S433"/>
  <c r="AT157"/>
  <c r="AU339"/>
  <c r="AT92"/>
  <c r="AU157"/>
  <c r="AU357"/>
  <c r="AC26"/>
  <c r="AT339"/>
  <c r="AT357"/>
  <c r="AU92"/>
  <c r="AU127"/>
  <c r="AF339"/>
  <c r="AF29"/>
  <c r="AG414"/>
  <c r="AG423"/>
  <c r="AG413"/>
  <c r="AG422"/>
  <c r="AE414"/>
  <c r="AE423"/>
  <c r="AG417"/>
  <c r="AG395"/>
  <c r="AE413"/>
  <c r="AE422"/>
  <c r="AN185"/>
  <c r="AU185"/>
  <c r="AM90"/>
  <c r="AT90"/>
  <c r="AM369"/>
  <c r="AT369"/>
  <c r="AM195"/>
  <c r="AT195"/>
  <c r="AW195"/>
  <c r="AN178"/>
  <c r="AU178"/>
  <c r="AW178"/>
  <c r="AM132"/>
  <c r="AT132"/>
  <c r="AN143"/>
  <c r="AU143"/>
  <c r="AM313"/>
  <c r="AT313"/>
  <c r="AW313"/>
  <c r="AN217"/>
  <c r="AN218"/>
  <c r="AU217"/>
  <c r="AN144"/>
  <c r="AU144"/>
  <c r="AM144"/>
  <c r="AT144"/>
  <c r="AN329"/>
  <c r="AN330"/>
  <c r="AN409"/>
  <c r="AU329"/>
  <c r="AU330"/>
  <c r="AU409"/>
  <c r="AM186"/>
  <c r="AT186"/>
  <c r="AW186"/>
  <c r="AN371"/>
  <c r="AU371"/>
  <c r="AM368"/>
  <c r="AT368"/>
  <c r="AM249"/>
  <c r="AT249"/>
  <c r="AM100"/>
  <c r="AT100"/>
  <c r="AH94"/>
  <c r="AB104"/>
  <c r="AH117"/>
  <c r="H43" i="30"/>
  <c r="A6" i="20"/>
  <c r="G43" i="30"/>
  <c r="A5" i="20"/>
  <c r="F34" i="30"/>
  <c r="F33"/>
  <c r="K33"/>
  <c r="F27"/>
  <c r="F30"/>
  <c r="K31"/>
  <c r="AP366" i="21"/>
  <c r="L193" i="29"/>
  <c r="G18" i="30"/>
  <c r="G42"/>
  <c r="B20"/>
  <c r="J211" i="29"/>
  <c r="B430" i="21"/>
  <c r="J212" i="29"/>
  <c r="B431" i="21"/>
  <c r="A431"/>
  <c r="J210" i="29"/>
  <c r="B429" i="21"/>
  <c r="A429"/>
  <c r="AM134"/>
  <c r="AH386"/>
  <c r="AH387"/>
  <c r="AP115"/>
  <c r="AP287"/>
  <c r="B40" i="30"/>
  <c r="T400" i="21"/>
  <c r="T418"/>
  <c r="T401"/>
  <c r="T419"/>
  <c r="T413"/>
  <c r="T422"/>
  <c r="T410"/>
  <c r="T421"/>
  <c r="S413"/>
  <c r="S422"/>
  <c r="S410"/>
  <c r="S421"/>
  <c r="S401"/>
  <c r="S400"/>
  <c r="S418"/>
  <c r="T331"/>
  <c r="T420"/>
  <c r="T408"/>
  <c r="S331"/>
  <c r="S420"/>
  <c r="S408"/>
  <c r="AH390"/>
  <c r="AP367"/>
  <c r="AB287"/>
  <c r="AF287"/>
  <c r="AC287"/>
  <c r="AD287"/>
  <c r="AH201"/>
  <c r="AA201"/>
  <c r="AQ201"/>
  <c r="AB368"/>
  <c r="AF368"/>
  <c r="AC368"/>
  <c r="AS186"/>
  <c r="AP201"/>
  <c r="AL198"/>
  <c r="AL205"/>
  <c r="AW179"/>
  <c r="AP316"/>
  <c r="AH251"/>
  <c r="AA251"/>
  <c r="AQ251"/>
  <c r="R119"/>
  <c r="AP248"/>
  <c r="AM385"/>
  <c r="AO391"/>
  <c r="AB172"/>
  <c r="O127" i="29"/>
  <c r="P127"/>
  <c r="AN253" i="21"/>
  <c r="AN248"/>
  <c r="J37" i="30"/>
  <c r="J186" i="29"/>
  <c r="C37" i="30"/>
  <c r="AH315" i="21"/>
  <c r="AA315"/>
  <c r="AB315"/>
  <c r="AP385"/>
  <c r="AL286"/>
  <c r="AL296"/>
  <c r="AP315"/>
  <c r="AB209"/>
  <c r="AE209"/>
  <c r="AF209"/>
  <c r="AC209"/>
  <c r="AD209"/>
  <c r="AP178"/>
  <c r="AK152"/>
  <c r="AK153"/>
  <c r="AO102"/>
  <c r="AF42"/>
  <c r="AP386"/>
  <c r="AO287"/>
  <c r="AS323"/>
  <c r="K161" i="29"/>
  <c r="AB97" i="21"/>
  <c r="AH97"/>
  <c r="AP381"/>
  <c r="AP382"/>
  <c r="AP371"/>
  <c r="AP390"/>
  <c r="J161" i="29"/>
  <c r="C31" i="30"/>
  <c r="AM314" i="21"/>
  <c r="AS147"/>
  <c r="AB340"/>
  <c r="AF340"/>
  <c r="AC340"/>
  <c r="AD340"/>
  <c r="AM391"/>
  <c r="AB173"/>
  <c r="O128" i="29"/>
  <c r="P128"/>
  <c r="AP292" i="21"/>
  <c r="AW314"/>
  <c r="AO381"/>
  <c r="AO382"/>
  <c r="AO390"/>
  <c r="AO392"/>
  <c r="Z174"/>
  <c r="Z392"/>
  <c r="AB292"/>
  <c r="AF292"/>
  <c r="AC292"/>
  <c r="AD292"/>
  <c r="AH341"/>
  <c r="AH345"/>
  <c r="AB188"/>
  <c r="AE188"/>
  <c r="AF188"/>
  <c r="AC188"/>
  <c r="AD188"/>
  <c r="AB302"/>
  <c r="AE302"/>
  <c r="AF302"/>
  <c r="AC302"/>
  <c r="AD302"/>
  <c r="AH203"/>
  <c r="AA203"/>
  <c r="AB203"/>
  <c r="AM115"/>
  <c r="AH391"/>
  <c r="AA391"/>
  <c r="N205" i="29"/>
  <c r="R388" i="21"/>
  <c r="Z277"/>
  <c r="L163" i="29"/>
  <c r="AS299" i="21"/>
  <c r="AB145"/>
  <c r="AE145"/>
  <c r="AF145"/>
  <c r="AC145"/>
  <c r="AD145"/>
  <c r="AP113"/>
  <c r="AM188"/>
  <c r="AW188"/>
  <c r="AH110"/>
  <c r="AA110"/>
  <c r="N100" i="29"/>
  <c r="AB265" i="21"/>
  <c r="AE265"/>
  <c r="AF265"/>
  <c r="AC265"/>
  <c r="AD265"/>
  <c r="AP222"/>
  <c r="AP341"/>
  <c r="AP203"/>
  <c r="AN136"/>
  <c r="Z152"/>
  <c r="L122" i="29"/>
  <c r="K122"/>
  <c r="AP173" i="21"/>
  <c r="K393"/>
  <c r="I393"/>
  <c r="T393"/>
  <c r="P378"/>
  <c r="P360"/>
  <c r="AN280"/>
  <c r="AC347"/>
  <c r="AC348"/>
  <c r="P349"/>
  <c r="O199" i="29"/>
  <c r="P199"/>
  <c r="AF381" i="21"/>
  <c r="AF382"/>
  <c r="AB382"/>
  <c r="AH381"/>
  <c r="AH382"/>
  <c r="AB323"/>
  <c r="AE323"/>
  <c r="AF323"/>
  <c r="AC323"/>
  <c r="AD323"/>
  <c r="AM177"/>
  <c r="AM112"/>
  <c r="AO386"/>
  <c r="L100" i="29"/>
  <c r="AM373" i="21"/>
  <c r="AN112"/>
  <c r="AP250"/>
  <c r="AP251"/>
  <c r="AB102"/>
  <c r="AH102"/>
  <c r="AP391"/>
  <c r="AO172"/>
  <c r="AP102"/>
  <c r="AO93"/>
  <c r="AK198"/>
  <c r="AR188"/>
  <c r="AM225"/>
  <c r="AP110"/>
  <c r="AH250"/>
  <c r="AA250"/>
  <c r="AQ250"/>
  <c r="AW225"/>
  <c r="AP340"/>
  <c r="AN177"/>
  <c r="AM133"/>
  <c r="AO253"/>
  <c r="AH317"/>
  <c r="AA317"/>
  <c r="AQ317"/>
  <c r="AM217"/>
  <c r="AM218"/>
  <c r="AB93"/>
  <c r="AH93"/>
  <c r="AP172"/>
  <c r="AP93"/>
  <c r="AS229"/>
  <c r="AB187"/>
  <c r="AE187"/>
  <c r="AF187"/>
  <c r="AC187"/>
  <c r="AD187"/>
  <c r="AK286"/>
  <c r="AK296"/>
  <c r="AH355"/>
  <c r="AH359"/>
  <c r="AH224"/>
  <c r="AA224"/>
  <c r="AQ224"/>
  <c r="AK247"/>
  <c r="AK254"/>
  <c r="AL247"/>
  <c r="AL254"/>
  <c r="AN97"/>
  <c r="R254"/>
  <c r="AR208"/>
  <c r="AB164"/>
  <c r="AE164"/>
  <c r="AF164"/>
  <c r="AC164"/>
  <c r="AD164"/>
  <c r="AP369"/>
  <c r="AH256"/>
  <c r="AP355"/>
  <c r="Z247"/>
  <c r="L154" i="29"/>
  <c r="AW115" i="21"/>
  <c r="AW202"/>
  <c r="AO97"/>
  <c r="AP103"/>
  <c r="AM269"/>
  <c r="AN341"/>
  <c r="AB369"/>
  <c r="AF369"/>
  <c r="AC369"/>
  <c r="AD369"/>
  <c r="AM135"/>
  <c r="AH316"/>
  <c r="AA316"/>
  <c r="AQ316"/>
  <c r="AN133"/>
  <c r="AP97"/>
  <c r="AO103"/>
  <c r="AB264"/>
  <c r="AE264"/>
  <c r="AF264"/>
  <c r="AC264"/>
  <c r="AD264"/>
  <c r="R326"/>
  <c r="R331"/>
  <c r="P304"/>
  <c r="S274"/>
  <c r="S419"/>
  <c r="AG404"/>
  <c r="P169"/>
  <c r="R169"/>
  <c r="AM320"/>
  <c r="AW323"/>
  <c r="AM113"/>
  <c r="AM323"/>
  <c r="AO178"/>
  <c r="AB182"/>
  <c r="AF182"/>
  <c r="AC182"/>
  <c r="AD182"/>
  <c r="AM107"/>
  <c r="J109" i="29"/>
  <c r="C24" i="30"/>
  <c r="AP256" i="21"/>
  <c r="AB229"/>
  <c r="AE229"/>
  <c r="AF229"/>
  <c r="AC229"/>
  <c r="AD229"/>
  <c r="AB186"/>
  <c r="AE186"/>
  <c r="AF186"/>
  <c r="AC186"/>
  <c r="AD186"/>
  <c r="AO366"/>
  <c r="AM202"/>
  <c r="AP368"/>
  <c r="AH115"/>
  <c r="AA115"/>
  <c r="AQ115"/>
  <c r="AB366"/>
  <c r="AS145"/>
  <c r="AN179"/>
  <c r="AN390"/>
  <c r="AM299"/>
  <c r="AW299"/>
  <c r="AP224"/>
  <c r="AP317"/>
  <c r="AN96"/>
  <c r="AB309"/>
  <c r="AB189"/>
  <c r="AE189"/>
  <c r="AF189"/>
  <c r="AC189"/>
  <c r="AD189"/>
  <c r="AM266"/>
  <c r="AB252"/>
  <c r="L105" i="29"/>
  <c r="AB99" i="21"/>
  <c r="AH99"/>
  <c r="AK155"/>
  <c r="AH313"/>
  <c r="AK127"/>
  <c r="R56" i="29"/>
  <c r="T56"/>
  <c r="AP92" i="21"/>
  <c r="L82" i="29"/>
  <c r="R58"/>
  <c r="T58"/>
  <c r="S58"/>
  <c r="N50"/>
  <c r="O50"/>
  <c r="M22" i="30"/>
  <c r="N22"/>
  <c r="AB100" i="21"/>
  <c r="AH100"/>
  <c r="L90" i="29"/>
  <c r="AO99" i="21"/>
  <c r="AP99"/>
  <c r="AB180"/>
  <c r="AF180"/>
  <c r="AC180"/>
  <c r="AM99"/>
  <c r="AN99"/>
  <c r="AW257"/>
  <c r="AM372"/>
  <c r="AN372"/>
  <c r="AW373"/>
  <c r="AW258"/>
  <c r="AW372"/>
  <c r="AM366"/>
  <c r="AN313"/>
  <c r="AM257"/>
  <c r="J141" i="29"/>
  <c r="C29" i="30"/>
  <c r="B29"/>
  <c r="AN195" i="21"/>
  <c r="AB146"/>
  <c r="AE146"/>
  <c r="AF146"/>
  <c r="AC146"/>
  <c r="AD146"/>
  <c r="W303"/>
  <c r="AM145"/>
  <c r="AH249"/>
  <c r="AA249"/>
  <c r="AQ249"/>
  <c r="AW391"/>
  <c r="J133" i="29"/>
  <c r="C28" i="30"/>
  <c r="B28"/>
  <c r="J169" i="29"/>
  <c r="C32" i="30"/>
  <c r="B32"/>
  <c r="W325" i="21"/>
  <c r="AW113"/>
  <c r="R123"/>
  <c r="K112" i="29"/>
  <c r="K26" i="30"/>
  <c r="B41"/>
  <c r="J31"/>
  <c r="J25"/>
  <c r="AW177" i="21"/>
  <c r="AW280"/>
  <c r="AO173"/>
  <c r="AB166"/>
  <c r="AE166"/>
  <c r="AF166"/>
  <c r="AC166"/>
  <c r="AD166"/>
  <c r="AM248"/>
  <c r="AB300"/>
  <c r="AE300"/>
  <c r="AF300"/>
  <c r="AC300"/>
  <c r="AD300"/>
  <c r="AW135"/>
  <c r="L207" i="29"/>
  <c r="F19" i="30"/>
  <c r="AB208" i="21"/>
  <c r="AE208"/>
  <c r="AF208"/>
  <c r="AC208"/>
  <c r="AD208"/>
  <c r="AB160"/>
  <c r="AF160"/>
  <c r="AC160"/>
  <c r="AD160"/>
  <c r="Z176"/>
  <c r="L129" i="29"/>
  <c r="AW241" i="21"/>
  <c r="AW253"/>
  <c r="AB270"/>
  <c r="AE270"/>
  <c r="AF270"/>
  <c r="AC270"/>
  <c r="AD270"/>
  <c r="AK277"/>
  <c r="AK284"/>
  <c r="L167" i="29"/>
  <c r="P104"/>
  <c r="Z382" i="21"/>
  <c r="L199" i="29"/>
  <c r="AB137" i="21"/>
  <c r="AF137"/>
  <c r="AC137"/>
  <c r="R183"/>
  <c r="R191"/>
  <c r="AL277"/>
  <c r="AL284"/>
  <c r="AK176"/>
  <c r="AB271"/>
  <c r="AE271"/>
  <c r="AF271"/>
  <c r="AC271"/>
  <c r="AD271"/>
  <c r="L172" i="29"/>
  <c r="AW208" i="21"/>
  <c r="AB324"/>
  <c r="AE324"/>
  <c r="AF324"/>
  <c r="AC324"/>
  <c r="AL176"/>
  <c r="AO385"/>
  <c r="L201" i="29"/>
  <c r="J176"/>
  <c r="C34" i="30"/>
  <c r="AM208" i="21"/>
  <c r="AO179"/>
  <c r="AH179"/>
  <c r="AA179"/>
  <c r="AQ179"/>
  <c r="P99" i="29"/>
  <c r="AN376" i="21"/>
  <c r="AN377"/>
  <c r="AN258"/>
  <c r="AM280"/>
  <c r="L164" i="29"/>
  <c r="P54"/>
  <c r="AB384" i="21"/>
  <c r="O200" i="29"/>
  <c r="L200"/>
  <c r="J148"/>
  <c r="C30" i="30"/>
  <c r="J190" i="29"/>
  <c r="C38" i="30"/>
  <c r="B38"/>
  <c r="AB144" i="21"/>
  <c r="AE144"/>
  <c r="AF144"/>
  <c r="AC144"/>
  <c r="AD144"/>
  <c r="AB299"/>
  <c r="AE299"/>
  <c r="AF299"/>
  <c r="AC299"/>
  <c r="AD299"/>
  <c r="AM271"/>
  <c r="AB147"/>
  <c r="AE147"/>
  <c r="AF147"/>
  <c r="AC147"/>
  <c r="AD147"/>
  <c r="AB367"/>
  <c r="AF367"/>
  <c r="AC367"/>
  <c r="AP160"/>
  <c r="R284"/>
  <c r="R304"/>
  <c r="Z330"/>
  <c r="L178" i="29"/>
  <c r="L179"/>
  <c r="AP329" i="21"/>
  <c r="AP330"/>
  <c r="AP409"/>
  <c r="AO329"/>
  <c r="AO330"/>
  <c r="AO409"/>
  <c r="AO313"/>
  <c r="L174" i="29"/>
  <c r="AP308" i="21"/>
  <c r="AO308"/>
  <c r="AQ372"/>
  <c r="AO372"/>
  <c r="L194" i="29"/>
  <c r="AO371" i="21"/>
  <c r="L195" i="29"/>
  <c r="AP372" i="21"/>
  <c r="AB336"/>
  <c r="O183" i="29"/>
  <c r="AO336" i="21"/>
  <c r="AP336"/>
  <c r="AB301"/>
  <c r="AE301"/>
  <c r="AF301"/>
  <c r="AC301"/>
  <c r="AD301"/>
  <c r="AS266"/>
  <c r="AB266"/>
  <c r="AE266"/>
  <c r="AF266"/>
  <c r="AC266"/>
  <c r="AD266"/>
  <c r="Z286"/>
  <c r="Z296"/>
  <c r="K165" i="29"/>
  <c r="AP291" i="21"/>
  <c r="AM293"/>
  <c r="AO291"/>
  <c r="AH291"/>
  <c r="AB278"/>
  <c r="AF278"/>
  <c r="AC278"/>
  <c r="AD278"/>
  <c r="AO278"/>
  <c r="AP278"/>
  <c r="AS272"/>
  <c r="AB272"/>
  <c r="W273"/>
  <c r="M160" i="29"/>
  <c r="AB243" i="21"/>
  <c r="O152" i="29"/>
  <c r="L152"/>
  <c r="AM241" i="21"/>
  <c r="AF235"/>
  <c r="AC235"/>
  <c r="AD235"/>
  <c r="AB244"/>
  <c r="O153" i="29"/>
  <c r="AO244" i="21"/>
  <c r="L151" i="29"/>
  <c r="AP244" i="21"/>
  <c r="AO248"/>
  <c r="L155" i="29"/>
  <c r="AM253" i="21"/>
  <c r="AB253"/>
  <c r="L156" i="29"/>
  <c r="O143"/>
  <c r="L143"/>
  <c r="L146"/>
  <c r="AP221" i="21"/>
  <c r="AH222"/>
  <c r="AA222"/>
  <c r="AB222"/>
  <c r="AO221"/>
  <c r="AB210"/>
  <c r="AE210"/>
  <c r="AF210"/>
  <c r="AC210"/>
  <c r="AD210"/>
  <c r="AS211"/>
  <c r="AB211"/>
  <c r="AE211"/>
  <c r="AF211"/>
  <c r="AC211"/>
  <c r="AD211"/>
  <c r="Z198"/>
  <c r="K137" i="29"/>
  <c r="L138"/>
  <c r="AO200" i="21"/>
  <c r="AP200"/>
  <c r="AH200"/>
  <c r="AA200"/>
  <c r="AQ200"/>
  <c r="AO195"/>
  <c r="L136" i="29"/>
  <c r="J125"/>
  <c r="C27" i="30"/>
  <c r="J120" i="29"/>
  <c r="C26" i="30"/>
  <c r="AO137" i="21"/>
  <c r="AN135"/>
  <c r="AW112"/>
  <c r="AN391"/>
  <c r="AL152"/>
  <c r="AN256"/>
  <c r="AB281"/>
  <c r="AF281"/>
  <c r="AC281"/>
  <c r="AD281"/>
  <c r="L113" i="29"/>
  <c r="AW272" i="21"/>
  <c r="AM272"/>
  <c r="AW145"/>
  <c r="Z118"/>
  <c r="AF257"/>
  <c r="AC257"/>
  <c r="AD257"/>
  <c r="AW266"/>
  <c r="AN266"/>
  <c r="AB117"/>
  <c r="O107" i="29"/>
  <c r="AQ109" i="21"/>
  <c r="N99" i="29"/>
  <c r="AM264" i="21"/>
  <c r="AP100"/>
  <c r="AO101"/>
  <c r="AQ114"/>
  <c r="N104" i="29"/>
  <c r="AO92" i="21"/>
  <c r="L130" i="29"/>
  <c r="AW248" i="21"/>
  <c r="N74" i="29"/>
  <c r="AW271" i="21"/>
  <c r="AN271"/>
  <c r="AO100"/>
  <c r="AQ178"/>
  <c r="AR269"/>
  <c r="AR273"/>
  <c r="AS269"/>
  <c r="AO258"/>
  <c r="AP258"/>
  <c r="AO113"/>
  <c r="L103" i="29"/>
  <c r="AM308" i="21"/>
  <c r="N37" i="29"/>
  <c r="Z260" i="21"/>
  <c r="L159" i="29"/>
  <c r="AB195" i="21"/>
  <c r="O136" i="29"/>
  <c r="AQ112" i="21"/>
  <c r="N102" i="29"/>
  <c r="L118"/>
  <c r="O74"/>
  <c r="M23" i="30"/>
  <c r="AQ116" i="21"/>
  <c r="AO96"/>
  <c r="AW133"/>
  <c r="AF108"/>
  <c r="AC108"/>
  <c r="AD108"/>
  <c r="Q98" i="29"/>
  <c r="O98"/>
  <c r="AW136" i="21"/>
  <c r="AM136"/>
  <c r="AN308"/>
  <c r="AB165"/>
  <c r="AE165"/>
  <c r="AF165"/>
  <c r="AC165"/>
  <c r="AD165"/>
  <c r="AM292"/>
  <c r="AB116"/>
  <c r="O106" i="29"/>
  <c r="AP101" i="21"/>
  <c r="AP96"/>
  <c r="AP257"/>
  <c r="AO257"/>
  <c r="AQ108"/>
  <c r="N98" i="29"/>
  <c r="AL155" i="21"/>
  <c r="Z155"/>
  <c r="Z127"/>
  <c r="K114" i="29"/>
  <c r="AD132" i="21"/>
  <c r="AB96"/>
  <c r="AH96"/>
  <c r="AB124"/>
  <c r="AF124"/>
  <c r="AC124"/>
  <c r="AD124"/>
  <c r="AB258"/>
  <c r="AB101"/>
  <c r="AH101"/>
  <c r="AF241"/>
  <c r="AC241"/>
  <c r="AD241"/>
  <c r="AH241"/>
  <c r="AF358"/>
  <c r="AC358"/>
  <c r="AD358"/>
  <c r="AM189"/>
  <c r="AN209"/>
  <c r="AW264"/>
  <c r="AN264"/>
  <c r="AA163"/>
  <c r="AN324"/>
  <c r="AR263"/>
  <c r="AS263"/>
  <c r="AW187"/>
  <c r="AM187"/>
  <c r="AM329"/>
  <c r="AM330"/>
  <c r="AM409"/>
  <c r="AM204"/>
  <c r="AW160"/>
  <c r="AN160"/>
  <c r="AO294"/>
  <c r="AP294"/>
  <c r="AW251"/>
  <c r="AM251"/>
  <c r="AM301"/>
  <c r="AM114"/>
  <c r="AM339"/>
  <c r="AM300"/>
  <c r="AM371"/>
  <c r="AM182"/>
  <c r="AO111"/>
  <c r="AP111"/>
  <c r="AM355"/>
  <c r="AM201"/>
  <c r="AW201"/>
  <c r="AN116"/>
  <c r="AW139"/>
  <c r="AM139"/>
  <c r="AO343"/>
  <c r="AP343"/>
  <c r="AW242"/>
  <c r="AN242"/>
  <c r="AM244"/>
  <c r="AN381"/>
  <c r="AN382"/>
  <c r="AN102"/>
  <c r="AF157"/>
  <c r="AM358"/>
  <c r="R337"/>
  <c r="AK335"/>
  <c r="AL335"/>
  <c r="Z335"/>
  <c r="AO98"/>
  <c r="AP98"/>
  <c r="AP283"/>
  <c r="AO283"/>
  <c r="AN240"/>
  <c r="AN238"/>
  <c r="AO95"/>
  <c r="AP95"/>
  <c r="AO88"/>
  <c r="AP88"/>
  <c r="Z363"/>
  <c r="L192" i="29"/>
  <c r="R364" i="21"/>
  <c r="R378"/>
  <c r="AK363"/>
  <c r="AL363"/>
  <c r="AN94"/>
  <c r="AB112"/>
  <c r="O102" i="29"/>
  <c r="AM376" i="21"/>
  <c r="AM377"/>
  <c r="AW210"/>
  <c r="AM210"/>
  <c r="AM265"/>
  <c r="AR167"/>
  <c r="AS167"/>
  <c r="AN270"/>
  <c r="AR322"/>
  <c r="AS322"/>
  <c r="AM290"/>
  <c r="AN259"/>
  <c r="AN301"/>
  <c r="AO373"/>
  <c r="AP373"/>
  <c r="AN114"/>
  <c r="AN300"/>
  <c r="AN339"/>
  <c r="AW222"/>
  <c r="AN222"/>
  <c r="AM146"/>
  <c r="AN140"/>
  <c r="AA385"/>
  <c r="N201" i="29"/>
  <c r="AM343" i="21"/>
  <c r="AN90"/>
  <c r="AN91"/>
  <c r="AN236"/>
  <c r="AM103"/>
  <c r="AO159"/>
  <c r="AP159"/>
  <c r="AN157"/>
  <c r="AA218"/>
  <c r="AO239"/>
  <c r="AP239"/>
  <c r="AP237"/>
  <c r="AO237"/>
  <c r="AM104"/>
  <c r="AB322"/>
  <c r="AH111"/>
  <c r="AA111"/>
  <c r="AB111"/>
  <c r="O101" i="29"/>
  <c r="AB98" i="21"/>
  <c r="AH98"/>
  <c r="AB283"/>
  <c r="AB95"/>
  <c r="AH95"/>
  <c r="AB88"/>
  <c r="AH88"/>
  <c r="AM209"/>
  <c r="AN228"/>
  <c r="AN164"/>
  <c r="AN265"/>
  <c r="AM384"/>
  <c r="AA371"/>
  <c r="N195" i="29"/>
  <c r="AN204" i="21"/>
  <c r="AR301"/>
  <c r="AS301"/>
  <c r="AA248"/>
  <c r="AM180"/>
  <c r="AW385"/>
  <c r="AN385"/>
  <c r="AO312"/>
  <c r="AP312"/>
  <c r="Z318"/>
  <c r="Z342"/>
  <c r="AK342"/>
  <c r="AT342"/>
  <c r="AL342"/>
  <c r="AU342"/>
  <c r="AN252"/>
  <c r="AM199"/>
  <c r="AW340"/>
  <c r="AN340"/>
  <c r="AM223"/>
  <c r="AM116"/>
  <c r="AN312"/>
  <c r="AO204"/>
  <c r="AP204"/>
  <c r="AN108"/>
  <c r="Z353"/>
  <c r="AO352"/>
  <c r="AO353"/>
  <c r="AP352"/>
  <c r="AP353"/>
  <c r="AM91"/>
  <c r="AM282"/>
  <c r="AM125"/>
  <c r="AM92"/>
  <c r="AN244"/>
  <c r="AN125"/>
  <c r="AO158"/>
  <c r="AP158"/>
  <c r="AO156"/>
  <c r="AP156"/>
  <c r="AO117"/>
  <c r="AP117"/>
  <c r="AN309"/>
  <c r="AO217"/>
  <c r="AO218"/>
  <c r="AP217"/>
  <c r="AP218"/>
  <c r="AN358"/>
  <c r="AO90"/>
  <c r="AP90"/>
  <c r="AB90"/>
  <c r="AH90"/>
  <c r="AM98"/>
  <c r="AM283"/>
  <c r="AH239"/>
  <c r="AD239"/>
  <c r="AH237"/>
  <c r="AN104"/>
  <c r="AO279"/>
  <c r="AP279"/>
  <c r="AH235"/>
  <c r="AM95"/>
  <c r="AM88"/>
  <c r="AB263"/>
  <c r="AB343"/>
  <c r="AB159"/>
  <c r="AB178"/>
  <c r="W148"/>
  <c r="AS143"/>
  <c r="AR143"/>
  <c r="W190"/>
  <c r="W191"/>
  <c r="AR185"/>
  <c r="AS185"/>
  <c r="AM298"/>
  <c r="AR187"/>
  <c r="AS187"/>
  <c r="AR228"/>
  <c r="AR230"/>
  <c r="AR231"/>
  <c r="AR405"/>
  <c r="AS228"/>
  <c r="W230"/>
  <c r="AM207"/>
  <c r="AM163"/>
  <c r="AR165"/>
  <c r="AS165"/>
  <c r="AM287"/>
  <c r="AO181"/>
  <c r="AP181"/>
  <c r="AN287"/>
  <c r="AM386"/>
  <c r="AO314"/>
  <c r="AP314"/>
  <c r="AN291"/>
  <c r="AN386"/>
  <c r="AS300"/>
  <c r="AR300"/>
  <c r="AN199"/>
  <c r="AM109"/>
  <c r="AR166"/>
  <c r="AS166"/>
  <c r="AP309"/>
  <c r="AO309"/>
  <c r="AN343"/>
  <c r="AH282"/>
  <c r="AM381"/>
  <c r="AM382"/>
  <c r="AM172"/>
  <c r="AM93"/>
  <c r="AN282"/>
  <c r="AM158"/>
  <c r="AM156"/>
  <c r="AM117"/>
  <c r="AN127"/>
  <c r="AO357"/>
  <c r="AP357"/>
  <c r="AO91"/>
  <c r="AP91"/>
  <c r="AO128"/>
  <c r="AP128"/>
  <c r="AN283"/>
  <c r="AM281"/>
  <c r="AA284"/>
  <c r="AQ281"/>
  <c r="AQ284"/>
  <c r="AM239"/>
  <c r="AM237"/>
  <c r="AO87"/>
  <c r="AP87"/>
  <c r="Z105"/>
  <c r="AM235"/>
  <c r="AN95"/>
  <c r="AN88"/>
  <c r="AB312"/>
  <c r="O173" i="29"/>
  <c r="AB314" i="21"/>
  <c r="AH204"/>
  <c r="AA204"/>
  <c r="AQ204"/>
  <c r="AF290"/>
  <c r="AC290"/>
  <c r="AD290"/>
  <c r="AB217"/>
  <c r="AH294"/>
  <c r="AH181"/>
  <c r="AA181"/>
  <c r="AQ181"/>
  <c r="AB279"/>
  <c r="AM228"/>
  <c r="AM230"/>
  <c r="AW147"/>
  <c r="AN147"/>
  <c r="AW321"/>
  <c r="AN321"/>
  <c r="AN262"/>
  <c r="AM302"/>
  <c r="W212"/>
  <c r="AR207"/>
  <c r="AS207"/>
  <c r="AN298"/>
  <c r="AR321"/>
  <c r="AB321"/>
  <c r="AS321"/>
  <c r="AA228"/>
  <c r="AR376"/>
  <c r="AR377"/>
  <c r="AR378"/>
  <c r="W377"/>
  <c r="W378"/>
  <c r="AS376"/>
  <c r="AS377"/>
  <c r="AS378"/>
  <c r="AW167"/>
  <c r="AM167"/>
  <c r="AF259"/>
  <c r="AC259"/>
  <c r="AD259"/>
  <c r="AO199"/>
  <c r="AP199"/>
  <c r="AA107"/>
  <c r="N97" i="29"/>
  <c r="AW317" i="21"/>
  <c r="AM317"/>
  <c r="AN288"/>
  <c r="AM252"/>
  <c r="R141"/>
  <c r="Z131"/>
  <c r="L116" i="29"/>
  <c r="AK131" i="21"/>
  <c r="AL131"/>
  <c r="Z356"/>
  <c r="AK356"/>
  <c r="AT356"/>
  <c r="AL356"/>
  <c r="AW292"/>
  <c r="AN292"/>
  <c r="AO202"/>
  <c r="AP202"/>
  <c r="AM312"/>
  <c r="AN366"/>
  <c r="AM294"/>
  <c r="AM200"/>
  <c r="AO177"/>
  <c r="AP177"/>
  <c r="AN294"/>
  <c r="AN223"/>
  <c r="AN109"/>
  <c r="AO344"/>
  <c r="AP344"/>
  <c r="AM336"/>
  <c r="AM173"/>
  <c r="AN101"/>
  <c r="AN172"/>
  <c r="AF156"/>
  <c r="AC156"/>
  <c r="AD156"/>
  <c r="AM357"/>
  <c r="AM96"/>
  <c r="AW96"/>
  <c r="AP126"/>
  <c r="AO126"/>
  <c r="AN281"/>
  <c r="AN239"/>
  <c r="AN237"/>
  <c r="AM279"/>
  <c r="AN235"/>
  <c r="AN89"/>
  <c r="AM124"/>
  <c r="AD288"/>
  <c r="Z374"/>
  <c r="R345"/>
  <c r="K184" i="29"/>
  <c r="K186"/>
  <c r="R359" i="21"/>
  <c r="K189" i="29"/>
  <c r="AF158" i="21"/>
  <c r="AC158"/>
  <c r="AD158"/>
  <c r="AB128"/>
  <c r="O115" i="29"/>
  <c r="AB87" i="21"/>
  <c r="AH87"/>
  <c r="AM262"/>
  <c r="AW322"/>
  <c r="AM322"/>
  <c r="AW263"/>
  <c r="AM263"/>
  <c r="AN189"/>
  <c r="AA207"/>
  <c r="AB207"/>
  <c r="AM143"/>
  <c r="AR262"/>
  <c r="AS262"/>
  <c r="W267"/>
  <c r="AA376"/>
  <c r="AM165"/>
  <c r="AM259"/>
  <c r="AM288"/>
  <c r="AM137"/>
  <c r="AN289"/>
  <c r="AO223"/>
  <c r="AP223"/>
  <c r="AN384"/>
  <c r="AM291"/>
  <c r="AF135"/>
  <c r="AC135"/>
  <c r="AD135"/>
  <c r="AM390"/>
  <c r="AW293"/>
  <c r="AN293"/>
  <c r="AN221"/>
  <c r="AW367"/>
  <c r="AN367"/>
  <c r="AF295"/>
  <c r="AC295"/>
  <c r="AD295"/>
  <c r="AN132"/>
  <c r="AN107"/>
  <c r="AN295"/>
  <c r="AM224"/>
  <c r="AW224"/>
  <c r="AN182"/>
  <c r="AO139"/>
  <c r="AP139"/>
  <c r="AM166"/>
  <c r="AH221"/>
  <c r="AA221"/>
  <c r="AG405"/>
  <c r="AW110"/>
  <c r="AM110"/>
  <c r="AM344"/>
  <c r="AD125"/>
  <c r="AH125"/>
  <c r="AM352"/>
  <c r="AM353"/>
  <c r="AN336"/>
  <c r="AN173"/>
  <c r="AN92"/>
  <c r="AN158"/>
  <c r="AN156"/>
  <c r="AN117"/>
  <c r="AN103"/>
  <c r="AF136"/>
  <c r="AC136"/>
  <c r="AD136"/>
  <c r="AF357"/>
  <c r="AO242"/>
  <c r="AP242"/>
  <c r="AB242"/>
  <c r="AM97"/>
  <c r="AW97"/>
  <c r="AM243"/>
  <c r="AM128"/>
  <c r="AO281"/>
  <c r="AP281"/>
  <c r="AO240"/>
  <c r="AP240"/>
  <c r="AO238"/>
  <c r="AP238"/>
  <c r="AM87"/>
  <c r="AN279"/>
  <c r="AO235"/>
  <c r="AP235"/>
  <c r="AO89"/>
  <c r="AP89"/>
  <c r="AN124"/>
  <c r="AO94"/>
  <c r="AP94"/>
  <c r="AH202"/>
  <c r="AA202"/>
  <c r="AQ202"/>
  <c r="AB352"/>
  <c r="O188" i="29"/>
  <c r="AH199" i="21"/>
  <c r="AB126"/>
  <c r="Z310"/>
  <c r="AN320"/>
  <c r="AM164"/>
  <c r="AM270"/>
  <c r="AW211"/>
  <c r="AN211"/>
  <c r="AN302"/>
  <c r="AA262"/>
  <c r="AR210"/>
  <c r="AS210"/>
  <c r="Z387"/>
  <c r="AO384"/>
  <c r="AP384"/>
  <c r="AN165"/>
  <c r="AW315"/>
  <c r="AN315"/>
  <c r="AW138"/>
  <c r="AN138"/>
  <c r="AW111"/>
  <c r="AN111"/>
  <c r="AN290"/>
  <c r="AN180"/>
  <c r="AN368"/>
  <c r="AM295"/>
  <c r="AO249"/>
  <c r="AP249"/>
  <c r="AM108"/>
  <c r="AH409"/>
  <c r="AA329"/>
  <c r="N178" i="29"/>
  <c r="AF140" i="21"/>
  <c r="AC140"/>
  <c r="AD140"/>
  <c r="AN166"/>
  <c r="AN146"/>
  <c r="AO138"/>
  <c r="AP138"/>
  <c r="AH236"/>
  <c r="AN100"/>
  <c r="AM102"/>
  <c r="AN352"/>
  <c r="AN353"/>
  <c r="AN93"/>
  <c r="AM159"/>
  <c r="AO157"/>
  <c r="AP157"/>
  <c r="AF114"/>
  <c r="AC114"/>
  <c r="AD114"/>
  <c r="Q104" i="29"/>
  <c r="AO241" i="21"/>
  <c r="AP241"/>
  <c r="AN357"/>
  <c r="AN278"/>
  <c r="AN243"/>
  <c r="AM126"/>
  <c r="AN128"/>
  <c r="AL234"/>
  <c r="R245"/>
  <c r="Z234"/>
  <c r="L150" i="29"/>
  <c r="AK234" i="21"/>
  <c r="AN87"/>
  <c r="AO124"/>
  <c r="AP124"/>
  <c r="AB167"/>
  <c r="AD289"/>
  <c r="AB225"/>
  <c r="AB344"/>
  <c r="AH223"/>
  <c r="AA223"/>
  <c r="AQ223"/>
  <c r="AF282"/>
  <c r="AC282"/>
  <c r="AD282"/>
  <c r="AB240"/>
  <c r="AB238"/>
  <c r="AF236"/>
  <c r="AC236"/>
  <c r="AD236"/>
  <c r="AB89"/>
  <c r="AH89"/>
  <c r="AN207"/>
  <c r="AM324"/>
  <c r="AW229"/>
  <c r="AN229"/>
  <c r="W168"/>
  <c r="W169"/>
  <c r="AR163"/>
  <c r="AS163"/>
  <c r="AW316"/>
  <c r="AM316"/>
  <c r="AM289"/>
  <c r="AN249"/>
  <c r="AW203"/>
  <c r="AN203"/>
  <c r="AW250"/>
  <c r="AN250"/>
  <c r="AN137"/>
  <c r="AM221"/>
  <c r="AO225"/>
  <c r="AP225"/>
  <c r="AM181"/>
  <c r="AN369"/>
  <c r="AK220"/>
  <c r="AL220"/>
  <c r="R226"/>
  <c r="R231"/>
  <c r="Z220"/>
  <c r="AN181"/>
  <c r="AW134"/>
  <c r="AN134"/>
  <c r="AF109"/>
  <c r="AC109"/>
  <c r="AD109"/>
  <c r="Q99" i="29"/>
  <c r="AM341" i="21"/>
  <c r="AW341"/>
  <c r="AN200"/>
  <c r="AM140"/>
  <c r="AS146"/>
  <c r="AR146"/>
  <c r="AQ113"/>
  <c r="AB113"/>
  <c r="O103" i="29"/>
  <c r="AN344" i="21"/>
  <c r="AM101"/>
  <c r="AM236"/>
  <c r="G12"/>
  <c r="Z11"/>
  <c r="AB11"/>
  <c r="AD11"/>
  <c r="AF11"/>
  <c r="AM309"/>
  <c r="AN159"/>
  <c r="AM157"/>
  <c r="Z218"/>
  <c r="AM278"/>
  <c r="AK194"/>
  <c r="AL194"/>
  <c r="R196"/>
  <c r="R213"/>
  <c r="Z194"/>
  <c r="AO358"/>
  <c r="AP358"/>
  <c r="AF293"/>
  <c r="AC293"/>
  <c r="AD293"/>
  <c r="AF280"/>
  <c r="AC280"/>
  <c r="AD280"/>
  <c r="AH280"/>
  <c r="AO243"/>
  <c r="AP243"/>
  <c r="AN126"/>
  <c r="AN98"/>
  <c r="AM240"/>
  <c r="AM238"/>
  <c r="AO104"/>
  <c r="AP104"/>
  <c r="AM89"/>
  <c r="AM94"/>
  <c r="AD138"/>
  <c r="AB139"/>
  <c r="AB372"/>
  <c r="AH177"/>
  <c r="AH373"/>
  <c r="AA373"/>
  <c r="AQ373"/>
  <c r="AF237"/>
  <c r="AC237"/>
  <c r="AD237"/>
  <c r="H5" i="4"/>
  <c r="H6"/>
  <c r="H8"/>
  <c r="H11"/>
  <c r="H14"/>
  <c r="H15"/>
  <c r="C82" i="20"/>
  <c r="D82"/>
  <c r="E82"/>
  <c r="F82"/>
  <c r="G82"/>
  <c r="H82"/>
  <c r="I82"/>
  <c r="J82"/>
  <c r="K82"/>
  <c r="L82"/>
  <c r="M82"/>
  <c r="N82"/>
  <c r="C24"/>
  <c r="R5" i="24"/>
  <c r="S5"/>
  <c r="U5"/>
  <c r="C10" i="20"/>
  <c r="F10"/>
  <c r="G10"/>
  <c r="L10"/>
  <c r="M43" i="32"/>
  <c r="J43"/>
  <c r="R15" i="24"/>
  <c r="O36" i="32"/>
  <c r="L36"/>
  <c r="H16" i="24"/>
  <c r="P16"/>
  <c r="F77" i="17"/>
  <c r="I6" i="24"/>
  <c r="M35" i="32"/>
  <c r="I11" i="24"/>
  <c r="P6"/>
  <c r="E8"/>
  <c r="E14"/>
  <c r="O9"/>
  <c r="F13"/>
  <c r="AD10" i="33"/>
  <c r="AE10"/>
  <c r="G9" i="24"/>
  <c r="AD19" i="33"/>
  <c r="F38" i="32"/>
  <c r="H37"/>
  <c r="F44"/>
  <c r="AE19" i="33"/>
  <c r="O15"/>
  <c r="P14"/>
  <c r="I15"/>
  <c r="J14"/>
  <c r="J21"/>
  <c r="M12"/>
  <c r="M20"/>
  <c r="Y12"/>
  <c r="Z11"/>
  <c r="Q13"/>
  <c r="R12"/>
  <c r="U11"/>
  <c r="H4" i="24"/>
  <c r="R20" i="33"/>
  <c r="W14"/>
  <c r="X13"/>
  <c r="G14"/>
  <c r="H13"/>
  <c r="M13"/>
  <c r="AK119" i="21"/>
  <c r="AK418"/>
  <c r="AJ410"/>
  <c r="AK388"/>
  <c r="AK413"/>
  <c r="AA303"/>
  <c r="N168" i="29"/>
  <c r="AB185" i="21"/>
  <c r="AB190"/>
  <c r="AS230"/>
  <c r="AS231"/>
  <c r="AS405"/>
  <c r="AW163"/>
  <c r="AQ134"/>
  <c r="AQ141"/>
  <c r="D74" i="20"/>
  <c r="AD34" i="21"/>
  <c r="AD40"/>
  <c r="AD398"/>
  <c r="AW269"/>
  <c r="AA273"/>
  <c r="N160" i="29"/>
  <c r="AA190" i="21"/>
  <c r="N132" i="29"/>
  <c r="AB269" i="21"/>
  <c r="AE269"/>
  <c r="AF269"/>
  <c r="AN212"/>
  <c r="AQ298"/>
  <c r="AQ303"/>
  <c r="AJ331"/>
  <c r="AJ420"/>
  <c r="AW366"/>
  <c r="AW320"/>
  <c r="AP387"/>
  <c r="AP388"/>
  <c r="AM392"/>
  <c r="AM423"/>
  <c r="AR267"/>
  <c r="AR274"/>
  <c r="AR406"/>
  <c r="AO387"/>
  <c r="AO388"/>
  <c r="AQ143"/>
  <c r="AQ148"/>
  <c r="AA310"/>
  <c r="AB320"/>
  <c r="AB325"/>
  <c r="AW107"/>
  <c r="AS267"/>
  <c r="AG393"/>
  <c r="AA325"/>
  <c r="N175" i="29"/>
  <c r="AL304" i="21"/>
  <c r="AL407"/>
  <c r="AW390"/>
  <c r="AW392"/>
  <c r="AW423"/>
  <c r="AW376"/>
  <c r="AW377"/>
  <c r="AW256"/>
  <c r="N172" i="29"/>
  <c r="AK304" i="21"/>
  <c r="AK407"/>
  <c r="AA390"/>
  <c r="N206" i="29"/>
  <c r="N207"/>
  <c r="AH392" i="21"/>
  <c r="AL414"/>
  <c r="AL423"/>
  <c r="AP392"/>
  <c r="AT423"/>
  <c r="AT414"/>
  <c r="AO414"/>
  <c r="AO423"/>
  <c r="AK414"/>
  <c r="AK423"/>
  <c r="AU414"/>
  <c r="AU423"/>
  <c r="AN392"/>
  <c r="AU388"/>
  <c r="AM387"/>
  <c r="AM388"/>
  <c r="AH388"/>
  <c r="AL388"/>
  <c r="AN387"/>
  <c r="AN388"/>
  <c r="AT388"/>
  <c r="AB308"/>
  <c r="AF308"/>
  <c r="AC308"/>
  <c r="AD308"/>
  <c r="AS412"/>
  <c r="AS421"/>
  <c r="AR412"/>
  <c r="AR421"/>
  <c r="AS325"/>
  <c r="AS326"/>
  <c r="AS331"/>
  <c r="AS420"/>
  <c r="AN374"/>
  <c r="AM148"/>
  <c r="AE303"/>
  <c r="AE304"/>
  <c r="AE407"/>
  <c r="AT374"/>
  <c r="AM374"/>
  <c r="AP374"/>
  <c r="AU374"/>
  <c r="AO374"/>
  <c r="AH374"/>
  <c r="AT363"/>
  <c r="AT364"/>
  <c r="AK364"/>
  <c r="AK378"/>
  <c r="AK412"/>
  <c r="AU363"/>
  <c r="AU364"/>
  <c r="AL364"/>
  <c r="AL378"/>
  <c r="AL412"/>
  <c r="AU356"/>
  <c r="AU359"/>
  <c r="AU360"/>
  <c r="AU411"/>
  <c r="AL359"/>
  <c r="AL360"/>
  <c r="AL411"/>
  <c r="AT359"/>
  <c r="AT360"/>
  <c r="AT411"/>
  <c r="AK359"/>
  <c r="AK360"/>
  <c r="AK411"/>
  <c r="AN325"/>
  <c r="AC339"/>
  <c r="AD339"/>
  <c r="AT345"/>
  <c r="AI408"/>
  <c r="AK345"/>
  <c r="AU345"/>
  <c r="AL345"/>
  <c r="AT335"/>
  <c r="AT337"/>
  <c r="AK337"/>
  <c r="AK349"/>
  <c r="AU335"/>
  <c r="AU337"/>
  <c r="AL337"/>
  <c r="AL349"/>
  <c r="AR325"/>
  <c r="AR326"/>
  <c r="AU326"/>
  <c r="AL326"/>
  <c r="AO318"/>
  <c r="AM325"/>
  <c r="AK326"/>
  <c r="AA313"/>
  <c r="N174" i="29"/>
  <c r="AH318" i="21"/>
  <c r="AH326"/>
  <c r="AH331"/>
  <c r="AM318"/>
  <c r="AN318"/>
  <c r="AS273"/>
  <c r="AP318"/>
  <c r="AT318"/>
  <c r="AT326"/>
  <c r="AN310"/>
  <c r="AP310"/>
  <c r="AM310"/>
  <c r="AO310"/>
  <c r="AR303"/>
  <c r="AR304"/>
  <c r="AR407"/>
  <c r="AS303"/>
  <c r="AS304"/>
  <c r="AS407"/>
  <c r="AN267"/>
  <c r="AN273"/>
  <c r="AN303"/>
  <c r="AM303"/>
  <c r="AP174"/>
  <c r="AA291"/>
  <c r="AQ291"/>
  <c r="AH296"/>
  <c r="AJ419"/>
  <c r="AM273"/>
  <c r="AO260"/>
  <c r="AM260"/>
  <c r="AM267"/>
  <c r="AA256"/>
  <c r="AA260"/>
  <c r="N159" i="29"/>
  <c r="AH260" i="21"/>
  <c r="AP260"/>
  <c r="AN260"/>
  <c r="AI419"/>
  <c r="AH254"/>
  <c r="AR418"/>
  <c r="AT234"/>
  <c r="AT245"/>
  <c r="AK245"/>
  <c r="AK274"/>
  <c r="AK406"/>
  <c r="AU234"/>
  <c r="AU245"/>
  <c r="AL245"/>
  <c r="AL274"/>
  <c r="AL406"/>
  <c r="AJ400"/>
  <c r="AN230"/>
  <c r="AT220"/>
  <c r="AT226"/>
  <c r="AT231"/>
  <c r="AT405"/>
  <c r="AK226"/>
  <c r="AK231"/>
  <c r="AK405"/>
  <c r="AU220"/>
  <c r="AU226"/>
  <c r="AL226"/>
  <c r="AL231"/>
  <c r="AL405"/>
  <c r="AM212"/>
  <c r="AW217"/>
  <c r="AW218"/>
  <c r="AU218"/>
  <c r="AR190"/>
  <c r="AR191"/>
  <c r="AR403"/>
  <c r="AR168"/>
  <c r="AR169"/>
  <c r="AR402"/>
  <c r="AR212"/>
  <c r="AR213"/>
  <c r="AR404"/>
  <c r="AS212"/>
  <c r="AS213"/>
  <c r="AS404"/>
  <c r="AT198"/>
  <c r="AT205"/>
  <c r="AK205"/>
  <c r="AH205"/>
  <c r="AS190"/>
  <c r="AS191"/>
  <c r="AS403"/>
  <c r="AM190"/>
  <c r="AU194"/>
  <c r="AU196"/>
  <c r="AL196"/>
  <c r="AL213"/>
  <c r="AL404"/>
  <c r="AS400"/>
  <c r="AT194"/>
  <c r="AT196"/>
  <c r="AK196"/>
  <c r="AK213"/>
  <c r="AK404"/>
  <c r="AN190"/>
  <c r="AW185"/>
  <c r="AU190"/>
  <c r="AT190"/>
  <c r="AT176"/>
  <c r="AT183"/>
  <c r="AK183"/>
  <c r="AK191"/>
  <c r="AK403"/>
  <c r="AU176"/>
  <c r="AU183"/>
  <c r="AL183"/>
  <c r="AL191"/>
  <c r="AL403"/>
  <c r="AS168"/>
  <c r="AS169"/>
  <c r="AS402"/>
  <c r="AB143"/>
  <c r="AE143"/>
  <c r="AE148"/>
  <c r="AE149"/>
  <c r="AB134"/>
  <c r="O117" i="29"/>
  <c r="P117"/>
  <c r="AA141" i="21"/>
  <c r="AA149"/>
  <c r="AM174"/>
  <c r="AO174"/>
  <c r="AN174"/>
  <c r="AN168"/>
  <c r="AM168"/>
  <c r="AT155"/>
  <c r="AT161"/>
  <c r="AK161"/>
  <c r="AK169"/>
  <c r="AK402"/>
  <c r="AU155"/>
  <c r="AU161"/>
  <c r="AL161"/>
  <c r="AU152"/>
  <c r="AU153"/>
  <c r="AL153"/>
  <c r="AS148"/>
  <c r="AS149"/>
  <c r="AN148"/>
  <c r="AT148"/>
  <c r="AR148"/>
  <c r="AR149"/>
  <c r="AU148"/>
  <c r="AT131"/>
  <c r="AT141"/>
  <c r="AK141"/>
  <c r="AU131"/>
  <c r="AU141"/>
  <c r="AL141"/>
  <c r="AP118"/>
  <c r="AO118"/>
  <c r="AL119"/>
  <c r="AN118"/>
  <c r="AM118"/>
  <c r="AH118"/>
  <c r="AM105"/>
  <c r="AP105"/>
  <c r="AT105"/>
  <c r="AT119"/>
  <c r="AU105"/>
  <c r="AU119"/>
  <c r="AN105"/>
  <c r="AH105"/>
  <c r="AO105"/>
  <c r="AC42"/>
  <c r="AC84"/>
  <c r="AC399"/>
  <c r="AF84"/>
  <c r="AF399"/>
  <c r="AF32"/>
  <c r="AF397"/>
  <c r="N119" i="29"/>
  <c r="N120"/>
  <c r="Q40"/>
  <c r="AC17" i="21"/>
  <c r="AD16"/>
  <c r="A430"/>
  <c r="S434"/>
  <c r="AA177"/>
  <c r="AQ177"/>
  <c r="AC357"/>
  <c r="AC157"/>
  <c r="AA386"/>
  <c r="AQ386"/>
  <c r="AD26"/>
  <c r="AC29"/>
  <c r="AD29"/>
  <c r="AD32"/>
  <c r="AG420"/>
  <c r="AG408"/>
  <c r="AG410"/>
  <c r="AG421"/>
  <c r="AG418"/>
  <c r="AG400"/>
  <c r="AE400"/>
  <c r="AE418"/>
  <c r="AG419"/>
  <c r="AG401"/>
  <c r="AE410"/>
  <c r="AN247"/>
  <c r="AN254"/>
  <c r="AU247"/>
  <c r="AU254"/>
  <c r="AM286"/>
  <c r="AM296"/>
  <c r="AT286"/>
  <c r="AT296"/>
  <c r="AN277"/>
  <c r="AN284"/>
  <c r="AU277"/>
  <c r="AU284"/>
  <c r="AM277"/>
  <c r="AM284"/>
  <c r="AT277"/>
  <c r="AT284"/>
  <c r="AM127"/>
  <c r="AT127"/>
  <c r="AN198"/>
  <c r="AN205"/>
  <c r="AU198"/>
  <c r="AM247"/>
  <c r="AM254"/>
  <c r="AT247"/>
  <c r="AT254"/>
  <c r="AM152"/>
  <c r="AM153"/>
  <c r="AT152"/>
  <c r="AT153"/>
  <c r="AN286"/>
  <c r="AN296"/>
  <c r="AU286"/>
  <c r="AU296"/>
  <c r="O80" i="29"/>
  <c r="P80"/>
  <c r="O88"/>
  <c r="P88"/>
  <c r="O87"/>
  <c r="P87"/>
  <c r="O91"/>
  <c r="O86"/>
  <c r="O79"/>
  <c r="P79"/>
  <c r="O85"/>
  <c r="P85"/>
  <c r="O90"/>
  <c r="P90"/>
  <c r="O89"/>
  <c r="P89"/>
  <c r="O78"/>
  <c r="P78"/>
  <c r="O83"/>
  <c r="P83"/>
  <c r="O92"/>
  <c r="P92"/>
  <c r="O77"/>
  <c r="P77"/>
  <c r="O94"/>
  <c r="P94"/>
  <c r="K43" i="30"/>
  <c r="A9" i="20"/>
  <c r="I43" i="30"/>
  <c r="A7" i="20"/>
  <c r="J43" i="30"/>
  <c r="A8" i="20"/>
  <c r="B30" i="30"/>
  <c r="B34"/>
  <c r="I25"/>
  <c r="I42"/>
  <c r="F31"/>
  <c r="AF366" i="21"/>
  <c r="O193" i="29"/>
  <c r="P193"/>
  <c r="F18" i="30"/>
  <c r="G44"/>
  <c r="F37"/>
  <c r="F36"/>
  <c r="J36"/>
  <c r="J42"/>
  <c r="C42"/>
  <c r="F26"/>
  <c r="K25"/>
  <c r="K42"/>
  <c r="H44"/>
  <c r="J214" i="29"/>
  <c r="T415" i="21"/>
  <c r="T424"/>
  <c r="S424"/>
  <c r="AF252"/>
  <c r="AC252"/>
  <c r="AD252"/>
  <c r="Z331"/>
  <c r="Z284"/>
  <c r="Z304"/>
  <c r="AB201"/>
  <c r="AF201"/>
  <c r="AC201"/>
  <c r="AD201"/>
  <c r="O166" i="29"/>
  <c r="P166"/>
  <c r="AB251" i="21"/>
  <c r="AF251"/>
  <c r="AC251"/>
  <c r="AD251"/>
  <c r="S393"/>
  <c r="J215" i="29"/>
  <c r="S406" i="21"/>
  <c r="S415"/>
  <c r="AD368"/>
  <c r="AA341"/>
  <c r="AA345"/>
  <c r="AO277"/>
  <c r="AO284"/>
  <c r="AB316"/>
  <c r="AF316"/>
  <c r="AC316"/>
  <c r="AD316"/>
  <c r="AQ203"/>
  <c r="AB110"/>
  <c r="O100" i="29"/>
  <c r="P100"/>
  <c r="AQ110" i="21"/>
  <c r="AP277"/>
  <c r="AP284"/>
  <c r="AB277"/>
  <c r="O163" i="29"/>
  <c r="P163"/>
  <c r="AW144" i="21"/>
  <c r="AQ315"/>
  <c r="AH172"/>
  <c r="AW100"/>
  <c r="AF172"/>
  <c r="AB250"/>
  <c r="AF250"/>
  <c r="AC250"/>
  <c r="AD250"/>
  <c r="AO247"/>
  <c r="AO254"/>
  <c r="AF102"/>
  <c r="AC102"/>
  <c r="AD102"/>
  <c r="Q92" i="29"/>
  <c r="AP176" i="21"/>
  <c r="AP183"/>
  <c r="AM198"/>
  <c r="AM205"/>
  <c r="AO152"/>
  <c r="AO153"/>
  <c r="AQ391"/>
  <c r="AP247"/>
  <c r="AP254"/>
  <c r="AB247"/>
  <c r="O154" i="29"/>
  <c r="P154"/>
  <c r="Z254" i="21"/>
  <c r="L161" i="29"/>
  <c r="N105"/>
  <c r="AB391" i="21"/>
  <c r="AP152"/>
  <c r="AP153"/>
  <c r="P393"/>
  <c r="AF97"/>
  <c r="AC97"/>
  <c r="AD97"/>
  <c r="Q87" i="29"/>
  <c r="AB152" i="21"/>
  <c r="AF152"/>
  <c r="AF153"/>
  <c r="Z119"/>
  <c r="AH173"/>
  <c r="Z153"/>
  <c r="AF173"/>
  <c r="AC173"/>
  <c r="AD173"/>
  <c r="Q128" i="29"/>
  <c r="S128"/>
  <c r="AB174" i="21"/>
  <c r="AF384"/>
  <c r="AB249"/>
  <c r="AF249"/>
  <c r="AC249"/>
  <c r="Z388"/>
  <c r="AF99"/>
  <c r="AC99"/>
  <c r="AD99"/>
  <c r="Q89" i="29"/>
  <c r="R360" i="21"/>
  <c r="AW369"/>
  <c r="AD347"/>
  <c r="AD348"/>
  <c r="R349"/>
  <c r="AW249"/>
  <c r="AF244"/>
  <c r="AC244"/>
  <c r="AD244"/>
  <c r="Q153" i="29"/>
  <c r="S153"/>
  <c r="AA355" i="21"/>
  <c r="AQ355"/>
  <c r="AQ359"/>
  <c r="AQ360"/>
  <c r="AQ411"/>
  <c r="AF93"/>
  <c r="AC93"/>
  <c r="AD93"/>
  <c r="Q83" i="29"/>
  <c r="AC381" i="21"/>
  <c r="AC382"/>
  <c r="AW132"/>
  <c r="AB317"/>
  <c r="AF317"/>
  <c r="AC317"/>
  <c r="AD317"/>
  <c r="AB115"/>
  <c r="O105" i="29"/>
  <c r="P105"/>
  <c r="AB224" i="21"/>
  <c r="AF224"/>
  <c r="AC224"/>
  <c r="AD224"/>
  <c r="AB179"/>
  <c r="AF179"/>
  <c r="AC179"/>
  <c r="AD179"/>
  <c r="AH244"/>
  <c r="AF104"/>
  <c r="AC104"/>
  <c r="AD104"/>
  <c r="R274"/>
  <c r="M175" i="29"/>
  <c r="M176"/>
  <c r="W326" i="21"/>
  <c r="M168" i="29"/>
  <c r="M169"/>
  <c r="W304" i="21"/>
  <c r="AH124"/>
  <c r="AF100"/>
  <c r="AC100"/>
  <c r="AD100"/>
  <c r="Q90" i="29"/>
  <c r="M157"/>
  <c r="M161"/>
  <c r="W274" i="21"/>
  <c r="M147" i="29"/>
  <c r="M148"/>
  <c r="W231" i="21"/>
  <c r="M140" i="29"/>
  <c r="M141"/>
  <c r="W213" i="21"/>
  <c r="AW259"/>
  <c r="AF309"/>
  <c r="AC309"/>
  <c r="AD309"/>
  <c r="O118" i="29"/>
  <c r="P118"/>
  <c r="AD180" i="21"/>
  <c r="AW108"/>
  <c r="M119" i="29"/>
  <c r="W149" i="21"/>
  <c r="AB303"/>
  <c r="O168" i="29"/>
  <c r="P168"/>
  <c r="Z183" i="21"/>
  <c r="Z191"/>
  <c r="AD367"/>
  <c r="AM155"/>
  <c r="AM161"/>
  <c r="AB204"/>
  <c r="AF204"/>
  <c r="AC204"/>
  <c r="AD204"/>
  <c r="AH176"/>
  <c r="AH183"/>
  <c r="AO176"/>
  <c r="AO183"/>
  <c r="L108" i="29"/>
  <c r="AW99" i="21"/>
  <c r="R49" i="29"/>
  <c r="T49"/>
  <c r="S49"/>
  <c r="AW143" i="21"/>
  <c r="AW329"/>
  <c r="AW330"/>
  <c r="AW409"/>
  <c r="AW371"/>
  <c r="AW209"/>
  <c r="AW295"/>
  <c r="AW164"/>
  <c r="AW368"/>
  <c r="AW288"/>
  <c r="G20"/>
  <c r="AW278"/>
  <c r="AW89"/>
  <c r="O151" i="29"/>
  <c r="P151"/>
  <c r="AW101" i="21"/>
  <c r="AW289"/>
  <c r="AW228"/>
  <c r="AW230"/>
  <c r="AH243"/>
  <c r="AF243"/>
  <c r="AC243"/>
  <c r="AD243"/>
  <c r="Q152" i="29"/>
  <c r="S152"/>
  <c r="P72"/>
  <c r="AK123" i="21"/>
  <c r="AK129"/>
  <c r="AL123"/>
  <c r="AL129"/>
  <c r="R129"/>
  <c r="R149"/>
  <c r="Z123"/>
  <c r="B27" i="30"/>
  <c r="B19"/>
  <c r="AD137" i="21"/>
  <c r="AH278"/>
  <c r="AW381"/>
  <c r="AW382"/>
  <c r="L197" i="29"/>
  <c r="L95"/>
  <c r="L133"/>
  <c r="F24" i="30"/>
  <c r="L176" i="29"/>
  <c r="L203"/>
  <c r="N179"/>
  <c r="P106"/>
  <c r="AW181" i="21"/>
  <c r="P107" i="29"/>
  <c r="P152"/>
  <c r="AM176" i="21"/>
  <c r="AM183"/>
  <c r="P65" i="29"/>
  <c r="P52"/>
  <c r="P143"/>
  <c r="AW102" i="21"/>
  <c r="AW312"/>
  <c r="AW318"/>
  <c r="AQ222"/>
  <c r="P101" i="29"/>
  <c r="P188"/>
  <c r="P115"/>
  <c r="AW94" i="21"/>
  <c r="AW291"/>
  <c r="AW116"/>
  <c r="P200" i="29"/>
  <c r="AN176" i="21"/>
  <c r="AN183"/>
  <c r="P102" i="29"/>
  <c r="P98"/>
  <c r="P183"/>
  <c r="AW157" i="21"/>
  <c r="AW90"/>
  <c r="P103" i="29"/>
  <c r="P69"/>
  <c r="P173"/>
  <c r="P136"/>
  <c r="P70"/>
  <c r="P153"/>
  <c r="AB376" i="21"/>
  <c r="O196" i="29"/>
  <c r="N196"/>
  <c r="AW270" i="21"/>
  <c r="N194" i="29"/>
  <c r="AH336" i="21"/>
  <c r="AB335"/>
  <c r="O182" i="29"/>
  <c r="L182"/>
  <c r="AF336" i="21"/>
  <c r="AC336"/>
  <c r="AD336"/>
  <c r="Q183" i="29"/>
  <c r="L165"/>
  <c r="L169"/>
  <c r="AB286" i="21"/>
  <c r="AP286"/>
  <c r="AP296"/>
  <c r="AO286"/>
  <c r="AO296"/>
  <c r="Q166" i="29"/>
  <c r="O164"/>
  <c r="AE272" i="21"/>
  <c r="AF272"/>
  <c r="AC272"/>
  <c r="AD272"/>
  <c r="AW236"/>
  <c r="O156" i="29"/>
  <c r="AF253" i="21"/>
  <c r="AC253"/>
  <c r="AD253"/>
  <c r="Q156" i="29"/>
  <c r="AW252" i="21"/>
  <c r="AB218"/>
  <c r="O144" i="29"/>
  <c r="AW221" i="21"/>
  <c r="AH220"/>
  <c r="L145" i="29"/>
  <c r="L148"/>
  <c r="N146"/>
  <c r="L137"/>
  <c r="AB198" i="21"/>
  <c r="AP198"/>
  <c r="AP205"/>
  <c r="AO198"/>
  <c r="AO205"/>
  <c r="Z205"/>
  <c r="AB200"/>
  <c r="AB194"/>
  <c r="O135" i="29"/>
  <c r="L135"/>
  <c r="AF116" i="21"/>
  <c r="AC116"/>
  <c r="AD116"/>
  <c r="Q106" i="29"/>
  <c r="S106"/>
  <c r="AF117" i="21"/>
  <c r="AC117"/>
  <c r="AD117"/>
  <c r="Q107" i="29"/>
  <c r="R107"/>
  <c r="AN152" i="21"/>
  <c r="AN153"/>
  <c r="AB223"/>
  <c r="AF223"/>
  <c r="AC223"/>
  <c r="AD223"/>
  <c r="R70" i="29"/>
  <c r="S70"/>
  <c r="R34"/>
  <c r="T34"/>
  <c r="S34"/>
  <c r="AF101" i="21"/>
  <c r="AC101"/>
  <c r="AD101"/>
  <c r="Q91" i="29"/>
  <c r="AW352" i="21"/>
  <c r="AW353"/>
  <c r="AW182"/>
  <c r="R54" i="29"/>
  <c r="T54"/>
  <c r="S54"/>
  <c r="S35"/>
  <c r="R35"/>
  <c r="T35"/>
  <c r="R33"/>
  <c r="T33"/>
  <c r="S33"/>
  <c r="AW324" i="21"/>
  <c r="AW125"/>
  <c r="AW308"/>
  <c r="S99" i="29"/>
  <c r="R99"/>
  <c r="T99"/>
  <c r="AW309" i="21"/>
  <c r="R72" i="29"/>
  <c r="S72"/>
  <c r="AN155" i="21"/>
  <c r="AN161"/>
  <c r="P73" i="29"/>
  <c r="AW87" i="21"/>
  <c r="AW302"/>
  <c r="AF195"/>
  <c r="AC195"/>
  <c r="AD195"/>
  <c r="Q136" i="29"/>
  <c r="AH195" i="21"/>
  <c r="AQ111"/>
  <c r="N101" i="29"/>
  <c r="AF96" i="21"/>
  <c r="AC96"/>
  <c r="AD96"/>
  <c r="Q86" i="29"/>
  <c r="AO155" i="21"/>
  <c r="AO161"/>
  <c r="AH155"/>
  <c r="AH161"/>
  <c r="Z161"/>
  <c r="L123" i="29"/>
  <c r="L125"/>
  <c r="AP155" i="21"/>
  <c r="AP161"/>
  <c r="AW104"/>
  <c r="N130" i="29"/>
  <c r="S98"/>
  <c r="R98"/>
  <c r="R32"/>
  <c r="S32"/>
  <c r="L114"/>
  <c r="AB127" i="21"/>
  <c r="AP127"/>
  <c r="AO127"/>
  <c r="AW279"/>
  <c r="O113" i="29"/>
  <c r="R104"/>
  <c r="T104"/>
  <c r="S104"/>
  <c r="AF258" i="21"/>
  <c r="AC258"/>
  <c r="AD258"/>
  <c r="AW238"/>
  <c r="AW357"/>
  <c r="AW207"/>
  <c r="AE207"/>
  <c r="AE212"/>
  <c r="AE213"/>
  <c r="AB212"/>
  <c r="AH238"/>
  <c r="AF238"/>
  <c r="AC238"/>
  <c r="AD238"/>
  <c r="Z196"/>
  <c r="AO194"/>
  <c r="AO196"/>
  <c r="AP194"/>
  <c r="AP196"/>
  <c r="AH242"/>
  <c r="AF242"/>
  <c r="AC242"/>
  <c r="AD242"/>
  <c r="AF298"/>
  <c r="AF303"/>
  <c r="AH283"/>
  <c r="AF283"/>
  <c r="AC283"/>
  <c r="AD283"/>
  <c r="AF222"/>
  <c r="AC222"/>
  <c r="AD222"/>
  <c r="AW137"/>
  <c r="AW294"/>
  <c r="AW156"/>
  <c r="AW95"/>
  <c r="AW98"/>
  <c r="AW282"/>
  <c r="AB373"/>
  <c r="O194" i="29"/>
  <c r="AB353" i="21"/>
  <c r="AH352"/>
  <c r="AF352"/>
  <c r="AF353"/>
  <c r="AF89"/>
  <c r="AC89"/>
  <c r="AD89"/>
  <c r="Q79" i="29"/>
  <c r="AF159" i="21"/>
  <c r="AC159"/>
  <c r="AD159"/>
  <c r="AF95"/>
  <c r="AC95"/>
  <c r="AD95"/>
  <c r="Q85" i="29"/>
  <c r="AQ385" i="21"/>
  <c r="AB385"/>
  <c r="O201" i="29"/>
  <c r="Z364" i="21"/>
  <c r="Z378"/>
  <c r="AO363"/>
  <c r="AO364"/>
  <c r="AP363"/>
  <c r="AP364"/>
  <c r="AA168"/>
  <c r="N124" i="29"/>
  <c r="AQ163" i="21"/>
  <c r="AQ168"/>
  <c r="AW159"/>
  <c r="AW262"/>
  <c r="AW235"/>
  <c r="AW117"/>
  <c r="AB181"/>
  <c r="AW199"/>
  <c r="AW358"/>
  <c r="AF90"/>
  <c r="AC90"/>
  <c r="AD90"/>
  <c r="Q80" i="29"/>
  <c r="AF113" i="21"/>
  <c r="AC113"/>
  <c r="AD113"/>
  <c r="Q103" i="29"/>
  <c r="Z226" i="21"/>
  <c r="Z231"/>
  <c r="AO220"/>
  <c r="AO226"/>
  <c r="AO231"/>
  <c r="AO405"/>
  <c r="AP220"/>
  <c r="AP226"/>
  <c r="AP231"/>
  <c r="AP405"/>
  <c r="AF225"/>
  <c r="AC225"/>
  <c r="AD225"/>
  <c r="AN234"/>
  <c r="AN245"/>
  <c r="AO356"/>
  <c r="AO359"/>
  <c r="AO360"/>
  <c r="AO411"/>
  <c r="AP356"/>
  <c r="AP359"/>
  <c r="AP360"/>
  <c r="AP411"/>
  <c r="Z359"/>
  <c r="L189" i="29"/>
  <c r="L190"/>
  <c r="AO131" i="21"/>
  <c r="AO141"/>
  <c r="AP131"/>
  <c r="AP141"/>
  <c r="Z141"/>
  <c r="AA230"/>
  <c r="N147" i="29"/>
  <c r="AQ228" i="21"/>
  <c r="AQ230"/>
  <c r="AB228"/>
  <c r="AF88"/>
  <c r="AC88"/>
  <c r="AD88"/>
  <c r="Q78" i="29"/>
  <c r="AF112" i="21"/>
  <c r="AC112"/>
  <c r="AD112"/>
  <c r="Q102" i="29"/>
  <c r="AW165" i="21"/>
  <c r="AW336"/>
  <c r="AW239"/>
  <c r="AW298"/>
  <c r="AW283"/>
  <c r="AW114"/>
  <c r="AF111"/>
  <c r="AC111"/>
  <c r="AD111"/>
  <c r="Q101" i="29"/>
  <c r="AE167" i="21"/>
  <c r="AF167"/>
  <c r="AC167"/>
  <c r="AD167"/>
  <c r="AA199"/>
  <c r="N139" i="29"/>
  <c r="AM356" i="21"/>
  <c r="AM359"/>
  <c r="AM360"/>
  <c r="AM411"/>
  <c r="AM131"/>
  <c r="AM141"/>
  <c r="AH217"/>
  <c r="AH218"/>
  <c r="AF217"/>
  <c r="AF312"/>
  <c r="AO342"/>
  <c r="AO345"/>
  <c r="AP342"/>
  <c r="AP345"/>
  <c r="Z345"/>
  <c r="L184" i="29"/>
  <c r="AA254" i="21"/>
  <c r="AQ248"/>
  <c r="AQ254"/>
  <c r="AB248"/>
  <c r="AW126"/>
  <c r="AW243"/>
  <c r="AW166"/>
  <c r="AW88"/>
  <c r="AW384"/>
  <c r="AW103"/>
  <c r="AW290"/>
  <c r="AB363"/>
  <c r="O192" i="29"/>
  <c r="AW300" i="21"/>
  <c r="AB163"/>
  <c r="AF343"/>
  <c r="AC343"/>
  <c r="AD343"/>
  <c r="AF139"/>
  <c r="AC139"/>
  <c r="AD139"/>
  <c r="AF344"/>
  <c r="AC344"/>
  <c r="AD344"/>
  <c r="AO234"/>
  <c r="AO245"/>
  <c r="Z245"/>
  <c r="AP234"/>
  <c r="AP245"/>
  <c r="AH126"/>
  <c r="AF126"/>
  <c r="AC126"/>
  <c r="AD126"/>
  <c r="Q113" i="29"/>
  <c r="AF203" i="21"/>
  <c r="AC203"/>
  <c r="AD203"/>
  <c r="AF315"/>
  <c r="AC315"/>
  <c r="AD315"/>
  <c r="AA212"/>
  <c r="N140" i="29"/>
  <c r="AQ207" i="21"/>
  <c r="AQ212"/>
  <c r="AA294"/>
  <c r="AF314"/>
  <c r="AC314"/>
  <c r="AD314"/>
  <c r="AM342"/>
  <c r="AM345"/>
  <c r="AM363"/>
  <c r="AM364"/>
  <c r="AM335"/>
  <c r="AM337"/>
  <c r="AW240"/>
  <c r="AW344"/>
  <c r="AW124"/>
  <c r="AW173"/>
  <c r="AB356"/>
  <c r="AB131"/>
  <c r="AW237"/>
  <c r="AW281"/>
  <c r="AW172"/>
  <c r="AW92"/>
  <c r="AW180"/>
  <c r="AW244"/>
  <c r="AW339"/>
  <c r="AW301"/>
  <c r="AN220"/>
  <c r="AN226"/>
  <c r="AA330"/>
  <c r="AQ329"/>
  <c r="AQ330"/>
  <c r="AQ409"/>
  <c r="AB329"/>
  <c r="O178" i="29"/>
  <c r="AE321" i="21"/>
  <c r="AF321"/>
  <c r="AC321"/>
  <c r="AD321"/>
  <c r="AF98"/>
  <c r="AC98"/>
  <c r="AD98"/>
  <c r="Q88" i="29"/>
  <c r="AF372" i="21"/>
  <c r="AC372"/>
  <c r="AD372"/>
  <c r="AM194"/>
  <c r="AM196"/>
  <c r="G13"/>
  <c r="AI12"/>
  <c r="N12"/>
  <c r="AJ12"/>
  <c r="G15"/>
  <c r="AA267"/>
  <c r="N157" i="29"/>
  <c r="AQ262" i="21"/>
  <c r="AQ267"/>
  <c r="AQ221"/>
  <c r="AB221"/>
  <c r="AH128"/>
  <c r="AF128"/>
  <c r="AC128"/>
  <c r="AD128"/>
  <c r="Q115" i="29"/>
  <c r="AN356" i="21"/>
  <c r="AN359"/>
  <c r="AN360"/>
  <c r="AN411"/>
  <c r="AN131"/>
  <c r="AN141"/>
  <c r="AQ107"/>
  <c r="AA118"/>
  <c r="AB107"/>
  <c r="O97" i="29"/>
  <c r="AF178" i="21"/>
  <c r="AC178"/>
  <c r="AD178"/>
  <c r="AE322"/>
  <c r="AF322"/>
  <c r="AC322"/>
  <c r="AD322"/>
  <c r="AN363"/>
  <c r="AN364"/>
  <c r="AN335"/>
  <c r="AN337"/>
  <c r="AB234"/>
  <c r="AW128"/>
  <c r="AW200"/>
  <c r="AW109"/>
  <c r="AW287"/>
  <c r="AW223"/>
  <c r="AB342"/>
  <c r="AW146"/>
  <c r="AW265"/>
  <c r="AW189"/>
  <c r="AB202"/>
  <c r="AB262"/>
  <c r="AN194"/>
  <c r="AN196"/>
  <c r="AM220"/>
  <c r="AM226"/>
  <c r="AM231"/>
  <c r="AM405"/>
  <c r="AH240"/>
  <c r="AF240"/>
  <c r="AC240"/>
  <c r="AD240"/>
  <c r="AM234"/>
  <c r="AM245"/>
  <c r="AQ376"/>
  <c r="AQ377"/>
  <c r="AA377"/>
  <c r="AF87"/>
  <c r="AH279"/>
  <c r="AF279"/>
  <c r="AC279"/>
  <c r="AD279"/>
  <c r="AE263"/>
  <c r="AF263"/>
  <c r="AC263"/>
  <c r="AD263"/>
  <c r="AN342"/>
  <c r="AN345"/>
  <c r="AA374"/>
  <c r="AQ371"/>
  <c r="AQ374"/>
  <c r="AB371"/>
  <c r="O195" i="29"/>
  <c r="Z337" i="21"/>
  <c r="AO335"/>
  <c r="AO337"/>
  <c r="AP335"/>
  <c r="AP337"/>
  <c r="AW140"/>
  <c r="AW158"/>
  <c r="AW93"/>
  <c r="AW386"/>
  <c r="AW91"/>
  <c r="AW343"/>
  <c r="AW204"/>
  <c r="D141" i="13"/>
  <c r="E141"/>
  <c r="F141"/>
  <c r="C6" i="10"/>
  <c r="D142" i="8"/>
  <c r="D143"/>
  <c r="D144"/>
  <c r="D145"/>
  <c r="D146"/>
  <c r="D147"/>
  <c r="U23" i="23"/>
  <c r="V23"/>
  <c r="W23"/>
  <c r="X23"/>
  <c r="Y23"/>
  <c r="F99" i="17"/>
  <c r="G99"/>
  <c r="H99"/>
  <c r="K99" i="8"/>
  <c r="F80" i="17"/>
  <c r="G80"/>
  <c r="H80"/>
  <c r="K70" i="8"/>
  <c r="T38" i="23"/>
  <c r="G87" i="17"/>
  <c r="F90"/>
  <c r="G90"/>
  <c r="H90"/>
  <c r="U60" i="23"/>
  <c r="AL60"/>
  <c r="AM60"/>
  <c r="AN60"/>
  <c r="BC60"/>
  <c r="BD60"/>
  <c r="C60"/>
  <c r="U8"/>
  <c r="F149" i="8"/>
  <c r="F150"/>
  <c r="F151"/>
  <c r="F152"/>
  <c r="F153"/>
  <c r="F154"/>
  <c r="M8" i="27"/>
  <c r="V8"/>
  <c r="AE8"/>
  <c r="AN8"/>
  <c r="AW8"/>
  <c r="BF8"/>
  <c r="BO8"/>
  <c r="BX8"/>
  <c r="CG8"/>
  <c r="CP8"/>
  <c r="CY8"/>
  <c r="DH8"/>
  <c r="M9"/>
  <c r="V9"/>
  <c r="AE9"/>
  <c r="AN9"/>
  <c r="AW9"/>
  <c r="BF9"/>
  <c r="BO9"/>
  <c r="BX9"/>
  <c r="CG9"/>
  <c r="CP9"/>
  <c r="CY9"/>
  <c r="DH9"/>
  <c r="DI9"/>
  <c r="M10"/>
  <c r="V10"/>
  <c r="AE10"/>
  <c r="AN10"/>
  <c r="AW10"/>
  <c r="BF10"/>
  <c r="BO10"/>
  <c r="BX10"/>
  <c r="CG10"/>
  <c r="CP10"/>
  <c r="CY10"/>
  <c r="DH10"/>
  <c r="DI10"/>
  <c r="M11"/>
  <c r="V11"/>
  <c r="AE11"/>
  <c r="AN11"/>
  <c r="AW11"/>
  <c r="BF11"/>
  <c r="BO11"/>
  <c r="BX11"/>
  <c r="CG11"/>
  <c r="CP11"/>
  <c r="CY11"/>
  <c r="DH11"/>
  <c r="M12"/>
  <c r="V12"/>
  <c r="AE12"/>
  <c r="AN12"/>
  <c r="AW12"/>
  <c r="BF12"/>
  <c r="BO12"/>
  <c r="BX12"/>
  <c r="CG12"/>
  <c r="CP12"/>
  <c r="CY12"/>
  <c r="DH12"/>
  <c r="DI12"/>
  <c r="M13"/>
  <c r="V13"/>
  <c r="AE13"/>
  <c r="AN13"/>
  <c r="AW13"/>
  <c r="BF13"/>
  <c r="BO13"/>
  <c r="BX13"/>
  <c r="CG13"/>
  <c r="CP13"/>
  <c r="CY13"/>
  <c r="DH13"/>
  <c r="DI13"/>
  <c r="M14"/>
  <c r="V14"/>
  <c r="AE14"/>
  <c r="AN14"/>
  <c r="AW14"/>
  <c r="BF14"/>
  <c r="BO14"/>
  <c r="BX14"/>
  <c r="CG14"/>
  <c r="CP14"/>
  <c r="CY14"/>
  <c r="DH14"/>
  <c r="M15"/>
  <c r="V15"/>
  <c r="AE15"/>
  <c r="AN15"/>
  <c r="AW15"/>
  <c r="BF15"/>
  <c r="BO15"/>
  <c r="BX15"/>
  <c r="CG15"/>
  <c r="CP15"/>
  <c r="CY15"/>
  <c r="DH15"/>
  <c r="DI15"/>
  <c r="M16"/>
  <c r="V16"/>
  <c r="AE16"/>
  <c r="AN16"/>
  <c r="AW16"/>
  <c r="BF16"/>
  <c r="BO16"/>
  <c r="BX16"/>
  <c r="CG16"/>
  <c r="CP16"/>
  <c r="CY16"/>
  <c r="DH16"/>
  <c r="M17"/>
  <c r="V17"/>
  <c r="AE17"/>
  <c r="AN17"/>
  <c r="AW17"/>
  <c r="BF17"/>
  <c r="BO17"/>
  <c r="BX17"/>
  <c r="CG17"/>
  <c r="CP17"/>
  <c r="CY17"/>
  <c r="DH17"/>
  <c r="DI17"/>
  <c r="M18"/>
  <c r="V18"/>
  <c r="AE18"/>
  <c r="AN18"/>
  <c r="AW18"/>
  <c r="BF18"/>
  <c r="BO18"/>
  <c r="BX18"/>
  <c r="CG18"/>
  <c r="CP18"/>
  <c r="CY18"/>
  <c r="DH18"/>
  <c r="DI18"/>
  <c r="M6"/>
  <c r="V6"/>
  <c r="AE6"/>
  <c r="AN6"/>
  <c r="AW6"/>
  <c r="BF6"/>
  <c r="BO6"/>
  <c r="BX6"/>
  <c r="CG6"/>
  <c r="CP6"/>
  <c r="CY6"/>
  <c r="DH6"/>
  <c r="DI6"/>
  <c r="F44"/>
  <c r="G44"/>
  <c r="B13"/>
  <c r="B18"/>
  <c r="B17"/>
  <c r="B15"/>
  <c r="B12"/>
  <c r="B10"/>
  <c r="B9"/>
  <c r="E45"/>
  <c r="E46"/>
  <c r="D45"/>
  <c r="D46"/>
  <c r="C45"/>
  <c r="G43"/>
  <c r="G42"/>
  <c r="G41"/>
  <c r="G40"/>
  <c r="G39"/>
  <c r="G38"/>
  <c r="G37"/>
  <c r="G36"/>
  <c r="G35"/>
  <c r="G34"/>
  <c r="B60"/>
  <c r="B56"/>
  <c r="B7"/>
  <c r="B6"/>
  <c r="E6"/>
  <c r="CC15"/>
  <c r="CD15"/>
  <c r="CF15"/>
  <c r="CI15"/>
  <c r="R54"/>
  <c r="AA54"/>
  <c r="R56"/>
  <c r="AA56"/>
  <c r="R57"/>
  <c r="AA57"/>
  <c r="R59"/>
  <c r="AA59"/>
  <c r="R60"/>
  <c r="AA60"/>
  <c r="R62"/>
  <c r="AA62"/>
  <c r="R64"/>
  <c r="AA64"/>
  <c r="R7"/>
  <c r="AA7"/>
  <c r="R9"/>
  <c r="AA9"/>
  <c r="R10"/>
  <c r="AA10"/>
  <c r="R12"/>
  <c r="AA12"/>
  <c r="R13"/>
  <c r="AA13"/>
  <c r="R15"/>
  <c r="AA15"/>
  <c r="R17"/>
  <c r="AA17"/>
  <c r="R18"/>
  <c r="AA18"/>
  <c r="R6"/>
  <c r="AA6"/>
  <c r="AB6"/>
  <c r="AD6"/>
  <c r="AG6"/>
  <c r="Q84"/>
  <c r="P84"/>
  <c r="O84"/>
  <c r="N84"/>
  <c r="Q83"/>
  <c r="P83"/>
  <c r="O83"/>
  <c r="N83"/>
  <c r="F80"/>
  <c r="F81"/>
  <c r="E80"/>
  <c r="E81"/>
  <c r="D80"/>
  <c r="D81"/>
  <c r="C80"/>
  <c r="B80"/>
  <c r="G79"/>
  <c r="G78"/>
  <c r="G77"/>
  <c r="G76"/>
  <c r="G75"/>
  <c r="G74"/>
  <c r="G73"/>
  <c r="G72"/>
  <c r="G71"/>
  <c r="G70"/>
  <c r="G69"/>
  <c r="DH64"/>
  <c r="DI64"/>
  <c r="CY64"/>
  <c r="CZ64"/>
  <c r="CP64"/>
  <c r="CQ64"/>
  <c r="CM64"/>
  <c r="CO64"/>
  <c r="CR64"/>
  <c r="CG64"/>
  <c r="CH64"/>
  <c r="BX64"/>
  <c r="BY64"/>
  <c r="BO64"/>
  <c r="BP64"/>
  <c r="BF64"/>
  <c r="BG64"/>
  <c r="AW64"/>
  <c r="AX64"/>
  <c r="AN64"/>
  <c r="AO64"/>
  <c r="AE64"/>
  <c r="AF64"/>
  <c r="V64"/>
  <c r="W64"/>
  <c r="M64"/>
  <c r="N64"/>
  <c r="J64"/>
  <c r="L64"/>
  <c r="O64"/>
  <c r="E64"/>
  <c r="B64"/>
  <c r="DH63"/>
  <c r="CY63"/>
  <c r="CP63"/>
  <c r="CG63"/>
  <c r="BX63"/>
  <c r="BO63"/>
  <c r="BF63"/>
  <c r="AW63"/>
  <c r="AN63"/>
  <c r="AE63"/>
  <c r="V63"/>
  <c r="M63"/>
  <c r="F63"/>
  <c r="I63"/>
  <c r="R63"/>
  <c r="AA63"/>
  <c r="AJ63"/>
  <c r="AS63"/>
  <c r="BB63"/>
  <c r="BK63"/>
  <c r="BT63"/>
  <c r="CC63"/>
  <c r="CL63"/>
  <c r="CU63"/>
  <c r="DD63"/>
  <c r="DH62"/>
  <c r="DI62"/>
  <c r="CY62"/>
  <c r="CZ62"/>
  <c r="CP62"/>
  <c r="CQ62"/>
  <c r="CU62"/>
  <c r="DD62"/>
  <c r="DE62"/>
  <c r="DG62"/>
  <c r="DJ62"/>
  <c r="CG62"/>
  <c r="CH62"/>
  <c r="BX62"/>
  <c r="BY62"/>
  <c r="BO62"/>
  <c r="BP62"/>
  <c r="BF62"/>
  <c r="BG62"/>
  <c r="AW62"/>
  <c r="AX62"/>
  <c r="AN62"/>
  <c r="AO62"/>
  <c r="AE62"/>
  <c r="AF62"/>
  <c r="V62"/>
  <c r="W62"/>
  <c r="M62"/>
  <c r="N62"/>
  <c r="J62"/>
  <c r="L62"/>
  <c r="O62"/>
  <c r="E62"/>
  <c r="B62"/>
  <c r="DH61"/>
  <c r="CY61"/>
  <c r="CP61"/>
  <c r="CG61"/>
  <c r="BX61"/>
  <c r="BO61"/>
  <c r="BF61"/>
  <c r="AW61"/>
  <c r="AN61"/>
  <c r="AE61"/>
  <c r="V61"/>
  <c r="M61"/>
  <c r="F61"/>
  <c r="I61"/>
  <c r="R61"/>
  <c r="AA61"/>
  <c r="AJ61"/>
  <c r="AS61"/>
  <c r="BB61"/>
  <c r="BK61"/>
  <c r="BT61"/>
  <c r="CC61"/>
  <c r="CL61"/>
  <c r="CU61"/>
  <c r="DD61"/>
  <c r="DH60"/>
  <c r="DI60"/>
  <c r="CY60"/>
  <c r="CZ60"/>
  <c r="CP60"/>
  <c r="CQ60"/>
  <c r="CM60"/>
  <c r="CO60"/>
  <c r="CR60"/>
  <c r="CG60"/>
  <c r="CH60"/>
  <c r="BX60"/>
  <c r="BY60"/>
  <c r="BO60"/>
  <c r="BP60"/>
  <c r="BF60"/>
  <c r="BG60"/>
  <c r="AW60"/>
  <c r="AX60"/>
  <c r="AN60"/>
  <c r="AO60"/>
  <c r="AE60"/>
  <c r="AF60"/>
  <c r="V60"/>
  <c r="W60"/>
  <c r="M60"/>
  <c r="N60"/>
  <c r="J60"/>
  <c r="L60"/>
  <c r="O60"/>
  <c r="E60"/>
  <c r="DH59"/>
  <c r="DI59"/>
  <c r="CY59"/>
  <c r="CZ59"/>
  <c r="CU59"/>
  <c r="DD59"/>
  <c r="DE59"/>
  <c r="DG59"/>
  <c r="DJ59"/>
  <c r="CP59"/>
  <c r="CQ59"/>
  <c r="CM59"/>
  <c r="CO59"/>
  <c r="CR59"/>
  <c r="CG59"/>
  <c r="CH59"/>
  <c r="BX59"/>
  <c r="BY59"/>
  <c r="BO59"/>
  <c r="BP59"/>
  <c r="BF59"/>
  <c r="BG59"/>
  <c r="AW59"/>
  <c r="AX59"/>
  <c r="AN59"/>
  <c r="AO59"/>
  <c r="AE59"/>
  <c r="AF59"/>
  <c r="V59"/>
  <c r="W59"/>
  <c r="M59"/>
  <c r="N59"/>
  <c r="J59"/>
  <c r="L59"/>
  <c r="O59"/>
  <c r="E59"/>
  <c r="B59"/>
  <c r="DH58"/>
  <c r="CY58"/>
  <c r="CP58"/>
  <c r="CG58"/>
  <c r="BX58"/>
  <c r="BO58"/>
  <c r="BF58"/>
  <c r="AW58"/>
  <c r="AN58"/>
  <c r="AE58"/>
  <c r="V58"/>
  <c r="M58"/>
  <c r="F58"/>
  <c r="I58"/>
  <c r="R58"/>
  <c r="AA58"/>
  <c r="AJ58"/>
  <c r="AS58"/>
  <c r="BB58"/>
  <c r="BK58"/>
  <c r="BT58"/>
  <c r="CC58"/>
  <c r="CL58"/>
  <c r="CU58"/>
  <c r="DD58"/>
  <c r="DH57"/>
  <c r="DI57"/>
  <c r="CY57"/>
  <c r="CZ57"/>
  <c r="CP57"/>
  <c r="CQ57"/>
  <c r="CM57"/>
  <c r="CO57"/>
  <c r="CR57"/>
  <c r="CG57"/>
  <c r="CH57"/>
  <c r="BX57"/>
  <c r="BY57"/>
  <c r="BO57"/>
  <c r="BP57"/>
  <c r="BF57"/>
  <c r="BG57"/>
  <c r="AW57"/>
  <c r="AX57"/>
  <c r="AN57"/>
  <c r="AO57"/>
  <c r="AE57"/>
  <c r="AF57"/>
  <c r="V57"/>
  <c r="W57"/>
  <c r="M57"/>
  <c r="N57"/>
  <c r="J57"/>
  <c r="L57"/>
  <c r="O57"/>
  <c r="E57"/>
  <c r="B57"/>
  <c r="DH56"/>
  <c r="DI56"/>
  <c r="CY56"/>
  <c r="CZ56"/>
  <c r="CP56"/>
  <c r="CQ56"/>
  <c r="CM56"/>
  <c r="CO56"/>
  <c r="CR56"/>
  <c r="CG56"/>
  <c r="CH56"/>
  <c r="BX56"/>
  <c r="BY56"/>
  <c r="BO56"/>
  <c r="BP56"/>
  <c r="BF56"/>
  <c r="BG56"/>
  <c r="AW56"/>
  <c r="AX56"/>
  <c r="AN56"/>
  <c r="AO56"/>
  <c r="AE56"/>
  <c r="AF56"/>
  <c r="V56"/>
  <c r="W56"/>
  <c r="M56"/>
  <c r="N56"/>
  <c r="J56"/>
  <c r="L56"/>
  <c r="O56"/>
  <c r="E56"/>
  <c r="DH55"/>
  <c r="CY55"/>
  <c r="CP55"/>
  <c r="CG55"/>
  <c r="BX55"/>
  <c r="BO55"/>
  <c r="BF55"/>
  <c r="AW55"/>
  <c r="AN55"/>
  <c r="AE55"/>
  <c r="V55"/>
  <c r="M55"/>
  <c r="F55"/>
  <c r="I55"/>
  <c r="R55"/>
  <c r="AA55"/>
  <c r="AJ55"/>
  <c r="AS55"/>
  <c r="BB55"/>
  <c r="BK55"/>
  <c r="BT55"/>
  <c r="CC55"/>
  <c r="CL55"/>
  <c r="CU55"/>
  <c r="DD55"/>
  <c r="CU54"/>
  <c r="DD54"/>
  <c r="DE54"/>
  <c r="DG54"/>
  <c r="DJ54"/>
  <c r="S54"/>
  <c r="U54"/>
  <c r="X54"/>
  <c r="J54"/>
  <c r="L54"/>
  <c r="O54"/>
  <c r="D54"/>
  <c r="CY54"/>
  <c r="CZ54"/>
  <c r="B54"/>
  <c r="DH53"/>
  <c r="DI53"/>
  <c r="CY53"/>
  <c r="CZ53"/>
  <c r="CP53"/>
  <c r="CQ53"/>
  <c r="CM53"/>
  <c r="CO53"/>
  <c r="CR53"/>
  <c r="CG53"/>
  <c r="CH53"/>
  <c r="BX53"/>
  <c r="BY53"/>
  <c r="BO53"/>
  <c r="BP53"/>
  <c r="BF53"/>
  <c r="BG53"/>
  <c r="AW53"/>
  <c r="AX53"/>
  <c r="AN53"/>
  <c r="AO53"/>
  <c r="AE53"/>
  <c r="AF53"/>
  <c r="V53"/>
  <c r="W53"/>
  <c r="R53"/>
  <c r="AA53"/>
  <c r="AJ53"/>
  <c r="M53"/>
  <c r="N53"/>
  <c r="J53"/>
  <c r="L53"/>
  <c r="O53"/>
  <c r="E53"/>
  <c r="B53"/>
  <c r="DN51"/>
  <c r="Q24"/>
  <c r="P24"/>
  <c r="O24"/>
  <c r="N24"/>
  <c r="Q23"/>
  <c r="P23"/>
  <c r="O23"/>
  <c r="N23"/>
  <c r="CM18"/>
  <c r="CO18"/>
  <c r="CR18"/>
  <c r="AS18"/>
  <c r="AT18"/>
  <c r="AV18"/>
  <c r="AY18"/>
  <c r="J18"/>
  <c r="L18"/>
  <c r="O18"/>
  <c r="E18"/>
  <c r="CM17"/>
  <c r="CO17"/>
  <c r="CR17"/>
  <c r="CU17"/>
  <c r="CV17"/>
  <c r="CX17"/>
  <c r="DA17"/>
  <c r="AS17"/>
  <c r="AT17"/>
  <c r="AV17"/>
  <c r="AY17"/>
  <c r="J17"/>
  <c r="L17"/>
  <c r="O17"/>
  <c r="E17"/>
  <c r="DN16"/>
  <c r="I16"/>
  <c r="AS16"/>
  <c r="BB16"/>
  <c r="BK16"/>
  <c r="BT16"/>
  <c r="CC16"/>
  <c r="CL16"/>
  <c r="CU16"/>
  <c r="DD16"/>
  <c r="CM15"/>
  <c r="CO15"/>
  <c r="CR15"/>
  <c r="BU15"/>
  <c r="BW15"/>
  <c r="BZ15"/>
  <c r="AS15"/>
  <c r="BB15"/>
  <c r="J15"/>
  <c r="L15"/>
  <c r="O15"/>
  <c r="E15"/>
  <c r="DN14"/>
  <c r="I14"/>
  <c r="AS14"/>
  <c r="BB14"/>
  <c r="BK14"/>
  <c r="BT14"/>
  <c r="CC14"/>
  <c r="CL14"/>
  <c r="CU14"/>
  <c r="DD14"/>
  <c r="CM13"/>
  <c r="CO13"/>
  <c r="CR13"/>
  <c r="CU13"/>
  <c r="CV13"/>
  <c r="CX13"/>
  <c r="DA13"/>
  <c r="AX13"/>
  <c r="AS13"/>
  <c r="BB13"/>
  <c r="J13"/>
  <c r="L13"/>
  <c r="O13"/>
  <c r="E13"/>
  <c r="CM12"/>
  <c r="CO12"/>
  <c r="CR12"/>
  <c r="AS12"/>
  <c r="BB12"/>
  <c r="J12"/>
  <c r="L12"/>
  <c r="O12"/>
  <c r="E12"/>
  <c r="DN11"/>
  <c r="I11"/>
  <c r="R11"/>
  <c r="AA11"/>
  <c r="AJ11"/>
  <c r="CM10"/>
  <c r="CO10"/>
  <c r="CR10"/>
  <c r="AS10"/>
  <c r="AT10"/>
  <c r="AV10"/>
  <c r="AY10"/>
  <c r="J10"/>
  <c r="L10"/>
  <c r="O10"/>
  <c r="E10"/>
  <c r="CM9"/>
  <c r="CO9"/>
  <c r="CR9"/>
  <c r="AS9"/>
  <c r="AT9"/>
  <c r="AV9"/>
  <c r="AY9"/>
  <c r="J9"/>
  <c r="L9"/>
  <c r="O9"/>
  <c r="E9"/>
  <c r="DN8"/>
  <c r="I8"/>
  <c r="R8"/>
  <c r="AA8"/>
  <c r="AJ8"/>
  <c r="CM7"/>
  <c r="CO7"/>
  <c r="CR7"/>
  <c r="CU7"/>
  <c r="DD7"/>
  <c r="DE7"/>
  <c r="DG7"/>
  <c r="DJ7"/>
  <c r="AS7"/>
  <c r="AT7"/>
  <c r="AV7"/>
  <c r="AY7"/>
  <c r="J7"/>
  <c r="L7"/>
  <c r="O7"/>
  <c r="D7"/>
  <c r="M7"/>
  <c r="CU6"/>
  <c r="CV6"/>
  <c r="CX6"/>
  <c r="DA6"/>
  <c r="CM6"/>
  <c r="CO6"/>
  <c r="CR6"/>
  <c r="AS6"/>
  <c r="BB6"/>
  <c r="BK6"/>
  <c r="J6"/>
  <c r="L6"/>
  <c r="O6"/>
  <c r="DN4"/>
  <c r="CU12"/>
  <c r="CV12"/>
  <c r="CX12"/>
  <c r="DA12"/>
  <c r="CU57"/>
  <c r="CV57"/>
  <c r="CX57"/>
  <c r="DA57"/>
  <c r="CU9"/>
  <c r="CV9"/>
  <c r="CX9"/>
  <c r="DA9"/>
  <c r="CU53"/>
  <c r="DD53"/>
  <c r="DE53"/>
  <c r="DG53"/>
  <c r="DJ53"/>
  <c r="CM54"/>
  <c r="CO54"/>
  <c r="CR54"/>
  <c r="CU56"/>
  <c r="CV56"/>
  <c r="CX56"/>
  <c r="DA56"/>
  <c r="CU60"/>
  <c r="CV60"/>
  <c r="CX60"/>
  <c r="DA60"/>
  <c r="CM62"/>
  <c r="CO62"/>
  <c r="CR62"/>
  <c r="CU64"/>
  <c r="DD64"/>
  <c r="DE64"/>
  <c r="DG64"/>
  <c r="DJ64"/>
  <c r="CU15"/>
  <c r="CV15"/>
  <c r="CX15"/>
  <c r="DA15"/>
  <c r="CU10"/>
  <c r="DD10"/>
  <c r="DE10"/>
  <c r="DG10"/>
  <c r="DJ10"/>
  <c r="CU18"/>
  <c r="CV18"/>
  <c r="CX18"/>
  <c r="DA18"/>
  <c r="D13" i="26"/>
  <c r="D9" i="17"/>
  <c r="D19"/>
  <c r="B11" i="24"/>
  <c r="B16"/>
  <c r="B10"/>
  <c r="B15"/>
  <c r="B9"/>
  <c r="B14"/>
  <c r="U18" i="23"/>
  <c r="AG49"/>
  <c r="AF47"/>
  <c r="C42"/>
  <c r="C21"/>
  <c r="BC55"/>
  <c r="BN57"/>
  <c r="BB55"/>
  <c r="BC54"/>
  <c r="BD54"/>
  <c r="BC53"/>
  <c r="BD53"/>
  <c r="BC52"/>
  <c r="BD52"/>
  <c r="BC51"/>
  <c r="BD51"/>
  <c r="BC50"/>
  <c r="BC49"/>
  <c r="BC48"/>
  <c r="BD48"/>
  <c r="BC47"/>
  <c r="BD47"/>
  <c r="BC46"/>
  <c r="BD46"/>
  <c r="BC45"/>
  <c r="BD45"/>
  <c r="BC44"/>
  <c r="BD44"/>
  <c r="BE44"/>
  <c r="BC43"/>
  <c r="BD43"/>
  <c r="BC42"/>
  <c r="BD42"/>
  <c r="BC41"/>
  <c r="BD41"/>
  <c r="BC40"/>
  <c r="BC39"/>
  <c r="BD39"/>
  <c r="BE39"/>
  <c r="BF39"/>
  <c r="BG39"/>
  <c r="BH39"/>
  <c r="BI39"/>
  <c r="BJ39"/>
  <c r="BB38"/>
  <c r="BB33"/>
  <c r="BC37"/>
  <c r="BD37"/>
  <c r="BC36"/>
  <c r="BD36"/>
  <c r="BC35"/>
  <c r="BD35"/>
  <c r="BC34"/>
  <c r="BD34"/>
  <c r="BE34"/>
  <c r="BF34"/>
  <c r="BG34"/>
  <c r="BH34"/>
  <c r="BC32"/>
  <c r="BD32"/>
  <c r="BE32"/>
  <c r="BC31"/>
  <c r="BD31"/>
  <c r="BE31"/>
  <c r="BF31"/>
  <c r="BG31"/>
  <c r="BC30"/>
  <c r="BD30"/>
  <c r="BE30"/>
  <c r="BC29"/>
  <c r="BD29"/>
  <c r="BC28"/>
  <c r="BD28"/>
  <c r="BC27"/>
  <c r="BD27"/>
  <c r="BC26"/>
  <c r="BD26"/>
  <c r="BB25"/>
  <c r="BC24"/>
  <c r="BD24"/>
  <c r="BC23"/>
  <c r="BD23"/>
  <c r="BC21"/>
  <c r="BC20"/>
  <c r="BD20"/>
  <c r="BC19"/>
  <c r="BD19"/>
  <c r="BC18"/>
  <c r="BD18"/>
  <c r="BC17"/>
  <c r="BD17"/>
  <c r="BC16"/>
  <c r="BD16"/>
  <c r="BC15"/>
  <c r="BD15"/>
  <c r="BE15"/>
  <c r="BF15"/>
  <c r="BG15"/>
  <c r="BH15"/>
  <c r="BC14"/>
  <c r="BD14"/>
  <c r="BE14"/>
  <c r="BF14"/>
  <c r="BG14"/>
  <c r="BO14"/>
  <c r="BC13"/>
  <c r="BD13"/>
  <c r="BC12"/>
  <c r="BD12"/>
  <c r="BC11"/>
  <c r="BD11"/>
  <c r="BN11"/>
  <c r="BB10"/>
  <c r="AL57"/>
  <c r="AM57"/>
  <c r="AL58"/>
  <c r="AM58"/>
  <c r="AN58"/>
  <c r="AL59"/>
  <c r="AM59"/>
  <c r="AN59"/>
  <c r="AO59"/>
  <c r="AP59"/>
  <c r="AX59"/>
  <c r="AL56"/>
  <c r="AM56"/>
  <c r="AW40"/>
  <c r="AL35"/>
  <c r="AM35"/>
  <c r="AN35"/>
  <c r="AL36"/>
  <c r="AL37"/>
  <c r="AM37"/>
  <c r="AL34"/>
  <c r="AM34"/>
  <c r="AN34"/>
  <c r="AL27"/>
  <c r="AM27"/>
  <c r="AN27"/>
  <c r="AL28"/>
  <c r="AM28"/>
  <c r="AN28"/>
  <c r="AL29"/>
  <c r="AM29"/>
  <c r="AL30"/>
  <c r="AM30"/>
  <c r="AL31"/>
  <c r="AM31"/>
  <c r="AN31"/>
  <c r="AL32"/>
  <c r="AM32"/>
  <c r="AL26"/>
  <c r="AM26"/>
  <c r="AL24"/>
  <c r="AL23"/>
  <c r="U12"/>
  <c r="V12"/>
  <c r="W12"/>
  <c r="X12"/>
  <c r="Y12"/>
  <c r="U13"/>
  <c r="V13"/>
  <c r="U14"/>
  <c r="V14"/>
  <c r="W14"/>
  <c r="U15"/>
  <c r="U16"/>
  <c r="V16"/>
  <c r="W16"/>
  <c r="X16"/>
  <c r="Y16"/>
  <c r="U17"/>
  <c r="V17"/>
  <c r="U24"/>
  <c r="V24"/>
  <c r="AF24"/>
  <c r="U11"/>
  <c r="V11"/>
  <c r="AF11"/>
  <c r="C57"/>
  <c r="C58"/>
  <c r="C59"/>
  <c r="C56"/>
  <c r="C41"/>
  <c r="C43"/>
  <c r="C44"/>
  <c r="C46"/>
  <c r="C48"/>
  <c r="C49"/>
  <c r="C50"/>
  <c r="C51"/>
  <c r="C53"/>
  <c r="C54"/>
  <c r="C39"/>
  <c r="C35"/>
  <c r="C36"/>
  <c r="C37"/>
  <c r="C34"/>
  <c r="C27"/>
  <c r="C28"/>
  <c r="C29"/>
  <c r="C30"/>
  <c r="C31"/>
  <c r="C32"/>
  <c r="C14"/>
  <c r="C15"/>
  <c r="C16"/>
  <c r="C17"/>
  <c r="C18"/>
  <c r="C19"/>
  <c r="C20"/>
  <c r="C23"/>
  <c r="C24"/>
  <c r="C13"/>
  <c r="C12"/>
  <c r="C8"/>
  <c r="BN59"/>
  <c r="BQ8"/>
  <c r="BP8"/>
  <c r="BO8"/>
  <c r="BN8"/>
  <c r="BQ7"/>
  <c r="BP7"/>
  <c r="BO7"/>
  <c r="BN7"/>
  <c r="BQ6"/>
  <c r="BP6"/>
  <c r="BO6"/>
  <c r="BN6"/>
  <c r="AK55"/>
  <c r="AK38"/>
  <c r="AK33"/>
  <c r="AK25"/>
  <c r="AK10"/>
  <c r="AZ8"/>
  <c r="AY8"/>
  <c r="AX8"/>
  <c r="AW8"/>
  <c r="AZ7"/>
  <c r="AY7"/>
  <c r="AX7"/>
  <c r="AW7"/>
  <c r="AZ6"/>
  <c r="AY6"/>
  <c r="AX6"/>
  <c r="AW6"/>
  <c r="T55"/>
  <c r="AF49"/>
  <c r="G84" i="17"/>
  <c r="J77" i="8"/>
  <c r="AF56" i="23"/>
  <c r="BN56"/>
  <c r="H43" i="8"/>
  <c r="C52" i="23"/>
  <c r="C47"/>
  <c r="AF42"/>
  <c r="C45"/>
  <c r="C40"/>
  <c r="U55"/>
  <c r="AF57"/>
  <c r="AF22"/>
  <c r="C11"/>
  <c r="I9" i="17"/>
  <c r="I10"/>
  <c r="BN58" i="23"/>
  <c r="BE55"/>
  <c r="BD55"/>
  <c r="D127" i="8"/>
  <c r="BF55" i="23"/>
  <c r="AG57"/>
  <c r="D105" i="8"/>
  <c r="BO56" i="23"/>
  <c r="BO58"/>
  <c r="I45" i="8"/>
  <c r="Q12" i="20"/>
  <c r="P13"/>
  <c r="S11" i="17"/>
  <c r="S12"/>
  <c r="Q13" i="20"/>
  <c r="T11" i="17"/>
  <c r="T12"/>
  <c r="O12" i="20"/>
  <c r="R9" i="17"/>
  <c r="R10"/>
  <c r="R80" i="20"/>
  <c r="Q80"/>
  <c r="P80"/>
  <c r="O80"/>
  <c r="R79"/>
  <c r="Q79"/>
  <c r="P79"/>
  <c r="O79"/>
  <c r="R78"/>
  <c r="Q78"/>
  <c r="P78"/>
  <c r="O78"/>
  <c r="R77"/>
  <c r="Q77"/>
  <c r="P77"/>
  <c r="O77"/>
  <c r="R62"/>
  <c r="Q62"/>
  <c r="P62"/>
  <c r="O62"/>
  <c r="R61"/>
  <c r="Q61"/>
  <c r="P61"/>
  <c r="O61"/>
  <c r="P53"/>
  <c r="Q53"/>
  <c r="P54"/>
  <c r="Q54"/>
  <c r="R54"/>
  <c r="O54"/>
  <c r="R53"/>
  <c r="O53"/>
  <c r="E9" i="13"/>
  <c r="E10"/>
  <c r="E11"/>
  <c r="E12"/>
  <c r="E13"/>
  <c r="E14"/>
  <c r="E15"/>
  <c r="E16"/>
  <c r="E17"/>
  <c r="E18"/>
  <c r="E19"/>
  <c r="E20"/>
  <c r="E21"/>
  <c r="E22"/>
  <c r="E23"/>
  <c r="E24"/>
  <c r="E25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9"/>
  <c r="E80"/>
  <c r="E81"/>
  <c r="E82"/>
  <c r="E83"/>
  <c r="E84"/>
  <c r="E86"/>
  <c r="E87"/>
  <c r="E88"/>
  <c r="E89"/>
  <c r="E90"/>
  <c r="E91"/>
  <c r="E93"/>
  <c r="E94"/>
  <c r="E95"/>
  <c r="E96"/>
  <c r="E97"/>
  <c r="E98"/>
  <c r="E99"/>
  <c r="E100"/>
  <c r="E101"/>
  <c r="E102"/>
  <c r="E103"/>
  <c r="E104"/>
  <c r="E105"/>
  <c r="E107"/>
  <c r="E108"/>
  <c r="E109"/>
  <c r="E110"/>
  <c r="E111"/>
  <c r="E113"/>
  <c r="E114"/>
  <c r="E115"/>
  <c r="E116"/>
  <c r="E117"/>
  <c r="E118"/>
  <c r="E119"/>
  <c r="E120"/>
  <c r="E121"/>
  <c r="E122"/>
  <c r="E123"/>
  <c r="I78" i="8"/>
  <c r="J78"/>
  <c r="K78"/>
  <c r="H78"/>
  <c r="I92"/>
  <c r="I95"/>
  <c r="I96"/>
  <c r="I97"/>
  <c r="J92"/>
  <c r="J95"/>
  <c r="J96"/>
  <c r="J97"/>
  <c r="K92"/>
  <c r="K95"/>
  <c r="K96"/>
  <c r="K97"/>
  <c r="H92"/>
  <c r="H95"/>
  <c r="H96"/>
  <c r="H70"/>
  <c r="I68"/>
  <c r="J68"/>
  <c r="K68"/>
  <c r="H68"/>
  <c r="I69"/>
  <c r="I79"/>
  <c r="J69"/>
  <c r="J79"/>
  <c r="K69"/>
  <c r="K79"/>
  <c r="H69"/>
  <c r="H79"/>
  <c r="J42"/>
  <c r="AL20" i="17"/>
  <c r="AL18"/>
  <c r="AL16"/>
  <c r="AL14"/>
  <c r="AL12"/>
  <c r="AL10"/>
  <c r="G86"/>
  <c r="H86"/>
  <c r="K47" i="8"/>
  <c r="F37" i="17"/>
  <c r="F40"/>
  <c r="F43"/>
  <c r="F62"/>
  <c r="I66" i="8"/>
  <c r="F31" i="17"/>
  <c r="I63" i="8"/>
  <c r="G37" i="17"/>
  <c r="G40"/>
  <c r="G43"/>
  <c r="G62"/>
  <c r="J66" i="8"/>
  <c r="G31" i="17"/>
  <c r="J63" i="8"/>
  <c r="H37" i="17"/>
  <c r="H40"/>
  <c r="H43"/>
  <c r="H62"/>
  <c r="K66" i="8"/>
  <c r="H31" i="17"/>
  <c r="K63" i="8"/>
  <c r="E37" i="17"/>
  <c r="E40"/>
  <c r="E43"/>
  <c r="E62"/>
  <c r="H66" i="8"/>
  <c r="E31" i="17"/>
  <c r="H63" i="8"/>
  <c r="I43"/>
  <c r="D30" i="17"/>
  <c r="D98"/>
  <c r="A98"/>
  <c r="D96"/>
  <c r="A96"/>
  <c r="D95"/>
  <c r="A95"/>
  <c r="D92"/>
  <c r="B92"/>
  <c r="A92"/>
  <c r="D91"/>
  <c r="B91"/>
  <c r="A91"/>
  <c r="D89"/>
  <c r="B89"/>
  <c r="A89"/>
  <c r="D88"/>
  <c r="B88"/>
  <c r="A88"/>
  <c r="D83"/>
  <c r="A83"/>
  <c r="D82"/>
  <c r="A82"/>
  <c r="D79"/>
  <c r="A79"/>
  <c r="D78"/>
  <c r="A78"/>
  <c r="C134" i="13"/>
  <c r="D149"/>
  <c r="I73" i="8"/>
  <c r="C150" i="13"/>
  <c r="E143"/>
  <c r="G111" i="8"/>
  <c r="G110"/>
  <c r="G109"/>
  <c r="G108"/>
  <c r="G107"/>
  <c r="G106"/>
  <c r="G104"/>
  <c r="G103"/>
  <c r="I88"/>
  <c r="J88"/>
  <c r="K88"/>
  <c r="K42"/>
  <c r="G148"/>
  <c r="D107"/>
  <c r="D91"/>
  <c r="D76"/>
  <c r="D62"/>
  <c r="D48"/>
  <c r="D44"/>
  <c r="D40"/>
  <c r="H25" i="4"/>
  <c r="E151" i="13"/>
  <c r="H42" i="8"/>
  <c r="H45"/>
  <c r="H46"/>
  <c r="H47"/>
  <c r="I47"/>
  <c r="H50"/>
  <c r="I50"/>
  <c r="H86"/>
  <c r="H88"/>
  <c r="H98"/>
  <c r="I98"/>
  <c r="J98"/>
  <c r="K98"/>
  <c r="H99"/>
  <c r="E107"/>
  <c r="F151" i="13"/>
  <c r="E150"/>
  <c r="D150"/>
  <c r="D151"/>
  <c r="C151"/>
  <c r="F150"/>
  <c r="D5" i="10"/>
  <c r="E5"/>
  <c r="F5"/>
  <c r="G5"/>
  <c r="C5"/>
  <c r="B6"/>
  <c r="B8"/>
  <c r="B9"/>
  <c r="B5"/>
  <c r="D61" i="17"/>
  <c r="D42"/>
  <c r="D39"/>
  <c r="D36"/>
  <c r="H27" i="4"/>
  <c r="BH55" i="23"/>
  <c r="BG55"/>
  <c r="AH56"/>
  <c r="AH49"/>
  <c r="AG22"/>
  <c r="K50" i="8"/>
  <c r="J50"/>
  <c r="I49"/>
  <c r="I105"/>
  <c r="H49"/>
  <c r="H105"/>
  <c r="J45"/>
  <c r="P12" i="20"/>
  <c r="S9" i="17"/>
  <c r="S10"/>
  <c r="R12" i="20"/>
  <c r="U9" i="17"/>
  <c r="U10"/>
  <c r="I42" i="8"/>
  <c r="J47"/>
  <c r="H97"/>
  <c r="D97" i="17"/>
  <c r="A97"/>
  <c r="AN10"/>
  <c r="AO10"/>
  <c r="H32" i="4"/>
  <c r="AM10" i="17"/>
  <c r="AM17"/>
  <c r="AN17"/>
  <c r="AM19"/>
  <c r="AM20"/>
  <c r="AP9"/>
  <c r="AH57" i="23"/>
  <c r="H33" i="4"/>
  <c r="J49" i="8"/>
  <c r="K45"/>
  <c r="AM14" i="17"/>
  <c r="AM12"/>
  <c r="AM16"/>
  <c r="BP56" i="23"/>
  <c r="J43" i="8"/>
  <c r="AI57" i="23"/>
  <c r="H28" i="4"/>
  <c r="AN14" i="17"/>
  <c r="AN16"/>
  <c r="AN12"/>
  <c r="BP58" i="23"/>
  <c r="BQ56"/>
  <c r="K43" i="8"/>
  <c r="AI49" i="23"/>
  <c r="AH22"/>
  <c r="AO12" i="17"/>
  <c r="AP11"/>
  <c r="AO16"/>
  <c r="AP15"/>
  <c r="AO14"/>
  <c r="AP13"/>
  <c r="O88" i="20"/>
  <c r="R87"/>
  <c r="AI22" i="23"/>
  <c r="P88" i="20"/>
  <c r="R86"/>
  <c r="C26" i="23"/>
  <c r="T25"/>
  <c r="O90" i="20"/>
  <c r="L91"/>
  <c r="L101"/>
  <c r="R90"/>
  <c r="O87"/>
  <c r="O86"/>
  <c r="M91"/>
  <c r="M101"/>
  <c r="R85"/>
  <c r="Q88"/>
  <c r="R88"/>
  <c r="R89"/>
  <c r="N91"/>
  <c r="N101"/>
  <c r="P86"/>
  <c r="P87"/>
  <c r="P90"/>
  <c r="Q87"/>
  <c r="Q90"/>
  <c r="Q86"/>
  <c r="O85"/>
  <c r="C91"/>
  <c r="C101"/>
  <c r="O101"/>
  <c r="D91"/>
  <c r="D101"/>
  <c r="O89"/>
  <c r="P85"/>
  <c r="E91"/>
  <c r="E101"/>
  <c r="F91"/>
  <c r="G91"/>
  <c r="G101"/>
  <c r="Q85"/>
  <c r="H91"/>
  <c r="H101"/>
  <c r="P89"/>
  <c r="I91"/>
  <c r="I101"/>
  <c r="J91"/>
  <c r="J101"/>
  <c r="Q89"/>
  <c r="K91"/>
  <c r="K101"/>
  <c r="Q82"/>
  <c r="R82"/>
  <c r="O82"/>
  <c r="P82"/>
  <c r="R101"/>
  <c r="Q101"/>
  <c r="D37" i="23"/>
  <c r="O8" i="24"/>
  <c r="AM22" i="23"/>
  <c r="S15" i="24"/>
  <c r="H76" i="17"/>
  <c r="J35" i="32"/>
  <c r="I16" i="24"/>
  <c r="J6"/>
  <c r="H44" i="32"/>
  <c r="O37"/>
  <c r="J11" i="24"/>
  <c r="M36" i="32"/>
  <c r="J36"/>
  <c r="K36"/>
  <c r="H3" i="24"/>
  <c r="P4"/>
  <c r="G8"/>
  <c r="AO22" i="23"/>
  <c r="G14" i="24"/>
  <c r="E13"/>
  <c r="O13"/>
  <c r="O14"/>
  <c r="F39" i="32"/>
  <c r="H38"/>
  <c r="Z20" i="33"/>
  <c r="AC11"/>
  <c r="H14"/>
  <c r="M14"/>
  <c r="M21"/>
  <c r="G15"/>
  <c r="U20"/>
  <c r="U12"/>
  <c r="I4" i="24"/>
  <c r="Y13" i="33"/>
  <c r="Z12"/>
  <c r="AC12"/>
  <c r="I9" i="24"/>
  <c r="O16" i="33"/>
  <c r="P15"/>
  <c r="H21"/>
  <c r="W15"/>
  <c r="X14"/>
  <c r="P21"/>
  <c r="Q14"/>
  <c r="R13"/>
  <c r="U13"/>
  <c r="J4" i="24"/>
  <c r="I16" i="33"/>
  <c r="J15"/>
  <c r="AU231" i="21"/>
  <c r="AU405"/>
  <c r="AK400"/>
  <c r="AQ378"/>
  <c r="AQ412"/>
  <c r="AT304"/>
  <c r="AT407"/>
  <c r="AE185"/>
  <c r="AE190"/>
  <c r="AE191"/>
  <c r="AE403"/>
  <c r="AU349"/>
  <c r="AU410"/>
  <c r="AK422"/>
  <c r="AW273"/>
  <c r="AQ149"/>
  <c r="AQ401"/>
  <c r="AP378"/>
  <c r="AP412"/>
  <c r="AB273"/>
  <c r="O160" i="29"/>
  <c r="P160"/>
  <c r="Q44"/>
  <c r="R44"/>
  <c r="E74" i="20"/>
  <c r="D24"/>
  <c r="AB313" i="21"/>
  <c r="O174" i="29"/>
  <c r="P174"/>
  <c r="AF273" i="21"/>
  <c r="AT169"/>
  <c r="AT402"/>
  <c r="AB148"/>
  <c r="O119" i="29"/>
  <c r="AM414" i="21"/>
  <c r="AQ256"/>
  <c r="AQ260"/>
  <c r="AQ274"/>
  <c r="AQ406"/>
  <c r="AT213"/>
  <c r="AT404"/>
  <c r="AO378"/>
  <c r="AO412"/>
  <c r="AB256"/>
  <c r="AF256"/>
  <c r="AF260"/>
  <c r="AF134"/>
  <c r="AC134"/>
  <c r="AD134"/>
  <c r="Q117" i="29"/>
  <c r="S117"/>
  <c r="AP191" i="21"/>
  <c r="AP403"/>
  <c r="AN231"/>
  <c r="AN405"/>
  <c r="AK149"/>
  <c r="AK419"/>
  <c r="AA318"/>
  <c r="AA326"/>
  <c r="AA331"/>
  <c r="AO213"/>
  <c r="AO404"/>
  <c r="AW325"/>
  <c r="AQ313"/>
  <c r="AQ318"/>
  <c r="AQ326"/>
  <c r="AQ331"/>
  <c r="AQ420"/>
  <c r="AE320"/>
  <c r="AE325"/>
  <c r="AE326"/>
  <c r="AE331"/>
  <c r="N176" i="29"/>
  <c r="AW260" i="21"/>
  <c r="AN274"/>
  <c r="AN406"/>
  <c r="AB390"/>
  <c r="O206" i="29"/>
  <c r="P206"/>
  <c r="AW155" i="21"/>
  <c r="AW161"/>
  <c r="AQ390"/>
  <c r="AQ392"/>
  <c r="AQ414"/>
  <c r="AP349"/>
  <c r="AN378"/>
  <c r="AN412"/>
  <c r="AM378"/>
  <c r="AM412"/>
  <c r="AM213"/>
  <c r="AM404"/>
  <c r="N167" i="29"/>
  <c r="N169"/>
  <c r="AB291" i="21"/>
  <c r="AF291"/>
  <c r="AC291"/>
  <c r="AD291"/>
  <c r="AA392"/>
  <c r="AP274"/>
  <c r="AP406"/>
  <c r="AQ387"/>
  <c r="AQ388"/>
  <c r="AQ422"/>
  <c r="AS274"/>
  <c r="AS406"/>
  <c r="AB310"/>
  <c r="AS408"/>
  <c r="AW414"/>
  <c r="AM274"/>
  <c r="AM406"/>
  <c r="AN213"/>
  <c r="AN404"/>
  <c r="O172" i="29"/>
  <c r="P172"/>
  <c r="AO349" i="21"/>
  <c r="AM304"/>
  <c r="AM407"/>
  <c r="AR393"/>
  <c r="AP414"/>
  <c r="AP423"/>
  <c r="AD42"/>
  <c r="AD84"/>
  <c r="AD399"/>
  <c r="AQ118"/>
  <c r="AD310"/>
  <c r="AO274"/>
  <c r="AO406"/>
  <c r="AN423"/>
  <c r="AN414"/>
  <c r="AL149"/>
  <c r="AL401"/>
  <c r="AM413"/>
  <c r="AM422"/>
  <c r="AN413"/>
  <c r="AN422"/>
  <c r="AC384"/>
  <c r="AD384"/>
  <c r="AT413"/>
  <c r="AT422"/>
  <c r="AL413"/>
  <c r="AL422"/>
  <c r="AU413"/>
  <c r="AU422"/>
  <c r="AU378"/>
  <c r="AU412"/>
  <c r="AO413"/>
  <c r="AO422"/>
  <c r="AP413"/>
  <c r="AP422"/>
  <c r="AW387"/>
  <c r="AW388"/>
  <c r="AT378"/>
  <c r="AT412"/>
  <c r="AW374"/>
  <c r="AC366"/>
  <c r="AD366"/>
  <c r="AH353"/>
  <c r="AH360"/>
  <c r="AH411"/>
  <c r="AP326"/>
  <c r="AP331"/>
  <c r="AP420"/>
  <c r="AL410"/>
  <c r="AL421"/>
  <c r="AT349"/>
  <c r="AK421"/>
  <c r="AK410"/>
  <c r="AN349"/>
  <c r="AM349"/>
  <c r="AT408"/>
  <c r="AT331"/>
  <c r="AT420"/>
  <c r="AK408"/>
  <c r="AK331"/>
  <c r="AK420"/>
  <c r="AL408"/>
  <c r="AL331"/>
  <c r="AL420"/>
  <c r="AR408"/>
  <c r="AR331"/>
  <c r="AR420"/>
  <c r="AU408"/>
  <c r="AU331"/>
  <c r="AU420"/>
  <c r="AM326"/>
  <c r="AO326"/>
  <c r="AN326"/>
  <c r="AW310"/>
  <c r="AC312"/>
  <c r="AC310"/>
  <c r="AF310"/>
  <c r="AO304"/>
  <c r="AO407"/>
  <c r="AU304"/>
  <c r="AU407"/>
  <c r="AW303"/>
  <c r="AP304"/>
  <c r="AP407"/>
  <c r="AN304"/>
  <c r="AN407"/>
  <c r="AW267"/>
  <c r="AE273"/>
  <c r="AW212"/>
  <c r="AT274"/>
  <c r="AT406"/>
  <c r="AU274"/>
  <c r="AU406"/>
  <c r="AA220"/>
  <c r="N145" i="29"/>
  <c r="N148"/>
  <c r="AH226" i="21"/>
  <c r="AH231"/>
  <c r="AH405"/>
  <c r="AC217"/>
  <c r="AF218"/>
  <c r="AP213"/>
  <c r="AP404"/>
  <c r="AW174"/>
  <c r="AW198"/>
  <c r="AW205"/>
  <c r="AU205"/>
  <c r="AU213"/>
  <c r="AU404"/>
  <c r="AU191"/>
  <c r="AU403"/>
  <c r="AT191"/>
  <c r="AT403"/>
  <c r="AM191"/>
  <c r="AM403"/>
  <c r="AO191"/>
  <c r="AO403"/>
  <c r="AN191"/>
  <c r="AN403"/>
  <c r="AW190"/>
  <c r="AH119"/>
  <c r="AC172"/>
  <c r="AC174"/>
  <c r="AF174"/>
  <c r="AW168"/>
  <c r="AH174"/>
  <c r="AH191"/>
  <c r="AH403"/>
  <c r="AP119"/>
  <c r="AP400"/>
  <c r="AL169"/>
  <c r="AL402"/>
  <c r="AN169"/>
  <c r="AN402"/>
  <c r="AO169"/>
  <c r="AO402"/>
  <c r="AM169"/>
  <c r="AM402"/>
  <c r="AP169"/>
  <c r="AP402"/>
  <c r="AM119"/>
  <c r="AM400"/>
  <c r="AU169"/>
  <c r="AU402"/>
  <c r="AS401"/>
  <c r="AW148"/>
  <c r="AR401"/>
  <c r="AR419"/>
  <c r="AN119"/>
  <c r="AN400"/>
  <c r="AW118"/>
  <c r="AO119"/>
  <c r="AO400"/>
  <c r="AU418"/>
  <c r="AU400"/>
  <c r="AL400"/>
  <c r="AL418"/>
  <c r="AT400"/>
  <c r="AT418"/>
  <c r="AW105"/>
  <c r="AC32"/>
  <c r="AC397"/>
  <c r="AD17"/>
  <c r="Q26" i="29"/>
  <c r="S40"/>
  <c r="R40"/>
  <c r="T40"/>
  <c r="L112"/>
  <c r="L120"/>
  <c r="AA387" i="21"/>
  <c r="AA388"/>
  <c r="S87" i="29"/>
  <c r="AB386" i="21"/>
  <c r="O202" i="29"/>
  <c r="P202"/>
  <c r="S83"/>
  <c r="N131"/>
  <c r="N202"/>
  <c r="N203"/>
  <c r="S90"/>
  <c r="AW127" i="21"/>
  <c r="S92" i="29"/>
  <c r="AB177" i="21"/>
  <c r="O131" i="29"/>
  <c r="P131"/>
  <c r="AD357" i="21"/>
  <c r="Q36" i="29"/>
  <c r="AD157" i="21"/>
  <c r="AG424"/>
  <c r="AG415"/>
  <c r="AH420"/>
  <c r="AH408"/>
  <c r="AH414"/>
  <c r="AH423"/>
  <c r="AH413"/>
  <c r="AH422"/>
  <c r="AM123"/>
  <c r="AM129"/>
  <c r="AM149"/>
  <c r="AT123"/>
  <c r="AT129"/>
  <c r="AT149"/>
  <c r="AN123"/>
  <c r="AN129"/>
  <c r="AN149"/>
  <c r="AU123"/>
  <c r="AU129"/>
  <c r="AU149"/>
  <c r="Q94" i="29"/>
  <c r="S94"/>
  <c r="F43" i="30"/>
  <c r="J216" i="29"/>
  <c r="B37" i="30"/>
  <c r="M120" i="29"/>
  <c r="T32"/>
  <c r="S449" i="21"/>
  <c r="J225" i="29"/>
  <c r="F25" i="30"/>
  <c r="B26"/>
  <c r="R92" i="29"/>
  <c r="T92"/>
  <c r="O175"/>
  <c r="P175"/>
  <c r="O150"/>
  <c r="P150"/>
  <c r="O132"/>
  <c r="P132"/>
  <c r="W331" i="21"/>
  <c r="AF110"/>
  <c r="AC110"/>
  <c r="AD110"/>
  <c r="Q100" i="29"/>
  <c r="R100"/>
  <c r="T100"/>
  <c r="AH277" i="21"/>
  <c r="AF277"/>
  <c r="AQ341"/>
  <c r="AQ345"/>
  <c r="AQ349"/>
  <c r="O130" i="29"/>
  <c r="P130"/>
  <c r="AF247" i="21"/>
  <c r="AW59" i="23"/>
  <c r="AW20"/>
  <c r="AB284" i="21"/>
  <c r="D54" i="17"/>
  <c r="I44" i="30"/>
  <c r="AB341" i="21"/>
  <c r="AB345"/>
  <c r="AW286"/>
  <c r="AW296"/>
  <c r="AW247"/>
  <c r="AW254"/>
  <c r="AW16" i="23"/>
  <c r="BN15"/>
  <c r="AC152" i="21"/>
  <c r="AC153"/>
  <c r="Z274"/>
  <c r="AD249"/>
  <c r="R128" i="29"/>
  <c r="T128"/>
  <c r="D102" i="8"/>
  <c r="AH152" i="21"/>
  <c r="AH153"/>
  <c r="AH169"/>
  <c r="AF12" i="23"/>
  <c r="D59"/>
  <c r="BN32"/>
  <c r="W9" i="27"/>
  <c r="CZ13"/>
  <c r="DB13"/>
  <c r="AF17"/>
  <c r="AW12" i="23"/>
  <c r="D53"/>
  <c r="M54" i="27"/>
  <c r="N54"/>
  <c r="P54"/>
  <c r="S60"/>
  <c r="U60"/>
  <c r="X60"/>
  <c r="Y60"/>
  <c r="CV62"/>
  <c r="CX62"/>
  <c r="DA62"/>
  <c r="DB62"/>
  <c r="Q185" i="29"/>
  <c r="S6" i="27"/>
  <c r="U6"/>
  <c r="X6"/>
  <c r="N10"/>
  <c r="P10"/>
  <c r="CZ10"/>
  <c r="CV59"/>
  <c r="CX59"/>
  <c r="DA59"/>
  <c r="DB59"/>
  <c r="CV54"/>
  <c r="CX54"/>
  <c r="DA54"/>
  <c r="DB54"/>
  <c r="BY10"/>
  <c r="AW152" i="21"/>
  <c r="AW153"/>
  <c r="S59" i="27"/>
  <c r="U59"/>
  <c r="X59"/>
  <c r="Y59"/>
  <c r="AO10"/>
  <c r="BP10"/>
  <c r="CQ10"/>
  <c r="CS10"/>
  <c r="BP18"/>
  <c r="R87" i="29"/>
  <c r="T87"/>
  <c r="H84" i="17"/>
  <c r="K77" i="8"/>
  <c r="K76"/>
  <c r="S7" i="27"/>
  <c r="U7"/>
  <c r="X7"/>
  <c r="AF10"/>
  <c r="BG10"/>
  <c r="S13"/>
  <c r="U13"/>
  <c r="X13"/>
  <c r="F84" i="17"/>
  <c r="I77" i="8"/>
  <c r="I76"/>
  <c r="W10" i="27"/>
  <c r="AX10"/>
  <c r="AZ10"/>
  <c r="CH10"/>
  <c r="AO18"/>
  <c r="CQ18"/>
  <c r="CS18"/>
  <c r="D65"/>
  <c r="V65"/>
  <c r="AE54"/>
  <c r="AF54"/>
  <c r="AF65"/>
  <c r="BO54"/>
  <c r="BP54"/>
  <c r="BP65"/>
  <c r="S18"/>
  <c r="U18"/>
  <c r="X18"/>
  <c r="CH9"/>
  <c r="W13"/>
  <c r="BG17"/>
  <c r="CP54"/>
  <c r="CQ54"/>
  <c r="CS54"/>
  <c r="CH13"/>
  <c r="L186" i="29"/>
  <c r="AF12" i="27"/>
  <c r="D86" i="17"/>
  <c r="B86"/>
  <c r="BN34" i="23"/>
  <c r="R14" i="27"/>
  <c r="AA14"/>
  <c r="AJ14"/>
  <c r="DD17"/>
  <c r="DE17"/>
  <c r="DG17"/>
  <c r="DJ17"/>
  <c r="DK17"/>
  <c r="J64" i="8"/>
  <c r="C55" i="23"/>
  <c r="D20"/>
  <c r="D29"/>
  <c r="BX54" i="27"/>
  <c r="BY54"/>
  <c r="BY65"/>
  <c r="E54"/>
  <c r="E65"/>
  <c r="I99" i="8"/>
  <c r="D99" i="17"/>
  <c r="D17" i="23"/>
  <c r="AW51"/>
  <c r="BN14"/>
  <c r="AS11" i="27"/>
  <c r="BB11"/>
  <c r="BK11"/>
  <c r="BT11"/>
  <c r="CC11"/>
  <c r="CL11"/>
  <c r="CU11"/>
  <c r="DD11"/>
  <c r="BP12"/>
  <c r="DD9"/>
  <c r="DE9"/>
  <c r="DG9"/>
  <c r="DJ9"/>
  <c r="DK9"/>
  <c r="BB17"/>
  <c r="BK17"/>
  <c r="BL17"/>
  <c r="BN17"/>
  <c r="BQ17"/>
  <c r="S10"/>
  <c r="U10"/>
  <c r="X10"/>
  <c r="O155" i="29"/>
  <c r="P155"/>
  <c r="O205"/>
  <c r="AF391" i="21"/>
  <c r="J99" i="8"/>
  <c r="D90" i="17"/>
  <c r="B90"/>
  <c r="A90"/>
  <c r="DD60" i="27"/>
  <c r="DE60"/>
  <c r="DG60"/>
  <c r="DJ60"/>
  <c r="DK60"/>
  <c r="AO12"/>
  <c r="CQ12"/>
  <c r="CS12"/>
  <c r="S80" i="20"/>
  <c r="BF54" i="27"/>
  <c r="BG54"/>
  <c r="BG65"/>
  <c r="AT13"/>
  <c r="AV13"/>
  <c r="AY13"/>
  <c r="AZ13"/>
  <c r="R16"/>
  <c r="AA16"/>
  <c r="AJ16"/>
  <c r="R83"/>
  <c r="N161" i="29"/>
  <c r="CV10" i="27"/>
  <c r="CX10"/>
  <c r="DA10"/>
  <c r="CV53"/>
  <c r="CX53"/>
  <c r="DA53"/>
  <c r="DB53"/>
  <c r="AS8"/>
  <c r="BB8"/>
  <c r="BK8"/>
  <c r="BT8"/>
  <c r="CC8"/>
  <c r="CL8"/>
  <c r="CU8"/>
  <c r="DD8"/>
  <c r="D43" i="17"/>
  <c r="D40" i="23"/>
  <c r="N6" i="27"/>
  <c r="P6"/>
  <c r="BP6"/>
  <c r="W15"/>
  <c r="BY15"/>
  <c r="O122" i="29"/>
  <c r="P122"/>
  <c r="AB153" i="21"/>
  <c r="D23" i="23"/>
  <c r="BN39"/>
  <c r="D35"/>
  <c r="D48"/>
  <c r="DD15" i="27"/>
  <c r="DE15"/>
  <c r="DG15"/>
  <c r="DJ15"/>
  <c r="DK15"/>
  <c r="AF51" i="23"/>
  <c r="AL38"/>
  <c r="AL33"/>
  <c r="AO6" i="27"/>
  <c r="CQ6"/>
  <c r="CS6"/>
  <c r="AX15"/>
  <c r="CZ15"/>
  <c r="DB15"/>
  <c r="AF17" i="23"/>
  <c r="W17"/>
  <c r="X17"/>
  <c r="Y17"/>
  <c r="Z17"/>
  <c r="AA17"/>
  <c r="AB17"/>
  <c r="AF13"/>
  <c r="W13"/>
  <c r="X13"/>
  <c r="Y13"/>
  <c r="AG13"/>
  <c r="I64" i="8"/>
  <c r="BN31" i="23"/>
  <c r="AW34"/>
  <c r="AL55"/>
  <c r="D27"/>
  <c r="D56"/>
  <c r="DD18" i="27"/>
  <c r="DE18"/>
  <c r="DG18"/>
  <c r="DJ18"/>
  <c r="DK18"/>
  <c r="DD12"/>
  <c r="DE12"/>
  <c r="DG12"/>
  <c r="DJ12"/>
  <c r="DK12"/>
  <c r="AF6"/>
  <c r="AH6"/>
  <c r="BG6"/>
  <c r="N15"/>
  <c r="P15"/>
  <c r="CQ15"/>
  <c r="CS15"/>
  <c r="D31" i="17"/>
  <c r="D14" i="23"/>
  <c r="AL10"/>
  <c r="BR6"/>
  <c r="D15"/>
  <c r="AT15" i="27"/>
  <c r="AV15"/>
  <c r="AY15"/>
  <c r="W6"/>
  <c r="AX6"/>
  <c r="CH6"/>
  <c r="CZ6"/>
  <c r="DB6"/>
  <c r="S9"/>
  <c r="U9"/>
  <c r="X9"/>
  <c r="AO15"/>
  <c r="BP15"/>
  <c r="D62" i="17"/>
  <c r="AF19" i="23"/>
  <c r="D16"/>
  <c r="BN44"/>
  <c r="D31"/>
  <c r="BB18" i="27"/>
  <c r="BK18"/>
  <c r="BL18"/>
  <c r="BN18"/>
  <c r="BQ18"/>
  <c r="AW54"/>
  <c r="AX54"/>
  <c r="AX65"/>
  <c r="AN54"/>
  <c r="AO54"/>
  <c r="AO65"/>
  <c r="S64"/>
  <c r="U64"/>
  <c r="X64"/>
  <c r="Y64"/>
  <c r="S12"/>
  <c r="U12"/>
  <c r="X12"/>
  <c r="BB9"/>
  <c r="C81"/>
  <c r="BY6"/>
  <c r="AX9"/>
  <c r="AZ9"/>
  <c r="BG12"/>
  <c r="AF15"/>
  <c r="BG15"/>
  <c r="CH15"/>
  <c r="CJ15"/>
  <c r="S77" i="20"/>
  <c r="S79"/>
  <c r="BR8" i="23"/>
  <c r="AJ9" i="27"/>
  <c r="AK9"/>
  <c r="AM9"/>
  <c r="AP9"/>
  <c r="AB9"/>
  <c r="AD9"/>
  <c r="AG9"/>
  <c r="DD56"/>
  <c r="DE56"/>
  <c r="DG56"/>
  <c r="DJ56"/>
  <c r="DK56"/>
  <c r="AT6"/>
  <c r="AV6"/>
  <c r="AY6"/>
  <c r="D37" i="17"/>
  <c r="H64" i="8"/>
  <c r="K64"/>
  <c r="D41" i="23"/>
  <c r="DD57" i="27"/>
  <c r="DE57"/>
  <c r="DG57"/>
  <c r="DJ57"/>
  <c r="DK57"/>
  <c r="BR7" i="23"/>
  <c r="G80" i="27"/>
  <c r="R84"/>
  <c r="AN19" i="17"/>
  <c r="AO19"/>
  <c r="AO20"/>
  <c r="D50" i="23"/>
  <c r="D47"/>
  <c r="D18"/>
  <c r="AG19"/>
  <c r="AH19"/>
  <c r="AG12"/>
  <c r="Z12"/>
  <c r="AA12"/>
  <c r="AB12"/>
  <c r="X14"/>
  <c r="Y14"/>
  <c r="Z14"/>
  <c r="AA14"/>
  <c r="AB14"/>
  <c r="AC14"/>
  <c r="AD14"/>
  <c r="AF21"/>
  <c r="BO39"/>
  <c r="C10"/>
  <c r="D19"/>
  <c r="D13"/>
  <c r="V18"/>
  <c r="E18"/>
  <c r="D12"/>
  <c r="AW28"/>
  <c r="DK10" i="27"/>
  <c r="BB10"/>
  <c r="DD13"/>
  <c r="DE13"/>
  <c r="DG13"/>
  <c r="DJ13"/>
  <c r="DK13"/>
  <c r="DK64"/>
  <c r="BY9"/>
  <c r="CZ9"/>
  <c r="DB9"/>
  <c r="W12"/>
  <c r="AX12"/>
  <c r="CH12"/>
  <c r="BY13"/>
  <c r="CQ13"/>
  <c r="CS13"/>
  <c r="W17"/>
  <c r="AX17"/>
  <c r="AZ17"/>
  <c r="CH17"/>
  <c r="CZ17"/>
  <c r="DB17"/>
  <c r="AF115" i="21"/>
  <c r="AC115"/>
  <c r="AD115"/>
  <c r="Q105" i="29"/>
  <c r="S105"/>
  <c r="W11" i="23"/>
  <c r="X11"/>
  <c r="Y11"/>
  <c r="Z11"/>
  <c r="AA11"/>
  <c r="AB11"/>
  <c r="AC11"/>
  <c r="W24"/>
  <c r="X24"/>
  <c r="Y24"/>
  <c r="Z24"/>
  <c r="AA24"/>
  <c r="V15"/>
  <c r="W15"/>
  <c r="X15"/>
  <c r="Y15"/>
  <c r="Z15"/>
  <c r="AA15"/>
  <c r="AB15"/>
  <c r="AC15"/>
  <c r="AD15"/>
  <c r="D51"/>
  <c r="AW27"/>
  <c r="AW35"/>
  <c r="AW44"/>
  <c r="D32"/>
  <c r="D30"/>
  <c r="D28"/>
  <c r="S56" i="27"/>
  <c r="U56"/>
  <c r="X56"/>
  <c r="Y56"/>
  <c r="S53"/>
  <c r="U53"/>
  <c r="X53"/>
  <c r="Y53"/>
  <c r="N9"/>
  <c r="P9"/>
  <c r="AO9"/>
  <c r="BP9"/>
  <c r="CQ9"/>
  <c r="CS9"/>
  <c r="N12"/>
  <c r="P12"/>
  <c r="BY12"/>
  <c r="CZ12"/>
  <c r="DB12"/>
  <c r="N13"/>
  <c r="AO13"/>
  <c r="BP13"/>
  <c r="S17"/>
  <c r="U17"/>
  <c r="X17"/>
  <c r="BY17"/>
  <c r="CQ17"/>
  <c r="CS17"/>
  <c r="AD381" i="21"/>
  <c r="AD382"/>
  <c r="U10" i="23"/>
  <c r="D21"/>
  <c r="D42"/>
  <c r="D46"/>
  <c r="D54"/>
  <c r="D43"/>
  <c r="AL25"/>
  <c r="AW41"/>
  <c r="AW58"/>
  <c r="D19" i="27"/>
  <c r="S57"/>
  <c r="U57"/>
  <c r="X57"/>
  <c r="Y57"/>
  <c r="AF9"/>
  <c r="BG9"/>
  <c r="AF13"/>
  <c r="BG13"/>
  <c r="N17"/>
  <c r="P17"/>
  <c r="AO17"/>
  <c r="BP17"/>
  <c r="CV64"/>
  <c r="CX64"/>
  <c r="DA64"/>
  <c r="DB64"/>
  <c r="AX46" i="23"/>
  <c r="AW46"/>
  <c r="D26"/>
  <c r="BH14"/>
  <c r="BI14"/>
  <c r="BJ14"/>
  <c r="BP14"/>
  <c r="Z23"/>
  <c r="AA23"/>
  <c r="AB23"/>
  <c r="AC23"/>
  <c r="AD23"/>
  <c r="AE23"/>
  <c r="AG23"/>
  <c r="AN57"/>
  <c r="AO57"/>
  <c r="AW57"/>
  <c r="E57"/>
  <c r="BE60"/>
  <c r="BN60"/>
  <c r="AW43"/>
  <c r="BN36"/>
  <c r="BE36"/>
  <c r="BF36"/>
  <c r="BG36"/>
  <c r="BO36"/>
  <c r="U25"/>
  <c r="BC38"/>
  <c r="BC33"/>
  <c r="D60"/>
  <c r="BN43"/>
  <c r="BE43"/>
  <c r="BF43"/>
  <c r="BG43"/>
  <c r="BH43"/>
  <c r="BI43"/>
  <c r="BJ43"/>
  <c r="BK43"/>
  <c r="AJ6" i="27"/>
  <c r="AK6"/>
  <c r="AM6"/>
  <c r="AP6"/>
  <c r="AJ49" i="23"/>
  <c r="AP14" i="17"/>
  <c r="D40"/>
  <c r="P56" i="27"/>
  <c r="P62"/>
  <c r="CS64"/>
  <c r="AJ60"/>
  <c r="AB60"/>
  <c r="AD60"/>
  <c r="AG60"/>
  <c r="AH60"/>
  <c r="AJ54"/>
  <c r="AK54"/>
  <c r="AM54"/>
  <c r="AP54"/>
  <c r="AB54"/>
  <c r="AD54"/>
  <c r="AG54"/>
  <c r="AW21" i="23"/>
  <c r="BE16"/>
  <c r="BF16"/>
  <c r="BG16"/>
  <c r="BH16"/>
  <c r="E16"/>
  <c r="BN16"/>
  <c r="AP16" i="17"/>
  <c r="AP12"/>
  <c r="AM18"/>
  <c r="AM21"/>
  <c r="S53" i="20"/>
  <c r="G45" i="27"/>
  <c r="R24"/>
  <c r="AJ22" i="23"/>
  <c r="D36"/>
  <c r="CS62" i="27"/>
  <c r="BK39" i="23"/>
  <c r="BL39"/>
  <c r="BM39"/>
  <c r="BQ39"/>
  <c r="BP39"/>
  <c r="BI34"/>
  <c r="BJ34"/>
  <c r="BK34"/>
  <c r="BN47"/>
  <c r="BE47"/>
  <c r="BF47"/>
  <c r="BG47"/>
  <c r="BH47"/>
  <c r="BI47"/>
  <c r="BJ47"/>
  <c r="BK47"/>
  <c r="AN32"/>
  <c r="AO32"/>
  <c r="AP32"/>
  <c r="AQ32"/>
  <c r="AR32"/>
  <c r="AS32"/>
  <c r="AT32"/>
  <c r="AW32"/>
  <c r="BE54"/>
  <c r="BF54"/>
  <c r="BG54"/>
  <c r="BH54"/>
  <c r="BI54"/>
  <c r="BJ54"/>
  <c r="BK54"/>
  <c r="BN54"/>
  <c r="AW54"/>
  <c r="BE23"/>
  <c r="BN23"/>
  <c r="AO17" i="17"/>
  <c r="AO18"/>
  <c r="AN18"/>
  <c r="BE41" i="23"/>
  <c r="BN41"/>
  <c r="BE48"/>
  <c r="BF48"/>
  <c r="BG48"/>
  <c r="BH48"/>
  <c r="BI48"/>
  <c r="BJ48"/>
  <c r="BK48"/>
  <c r="BN48"/>
  <c r="AB15" i="27"/>
  <c r="AD15"/>
  <c r="AG15"/>
  <c r="AJ15"/>
  <c r="AK15"/>
  <c r="AM15"/>
  <c r="AP15"/>
  <c r="S89" i="20"/>
  <c r="E37" i="23"/>
  <c r="O37"/>
  <c r="D58"/>
  <c r="AB53" i="27"/>
  <c r="AD53"/>
  <c r="AG53"/>
  <c r="AH53"/>
  <c r="S15"/>
  <c r="U15"/>
  <c r="X15"/>
  <c r="AF18"/>
  <c r="BG18"/>
  <c r="CS59"/>
  <c r="AB337" i="21"/>
  <c r="W393"/>
  <c r="S78" i="20"/>
  <c r="BA7" i="23"/>
  <c r="D34"/>
  <c r="E13" i="26"/>
  <c r="W18" i="27"/>
  <c r="AX18"/>
  <c r="AZ18"/>
  <c r="CH18"/>
  <c r="AH335" i="21"/>
  <c r="AH337"/>
  <c r="AH349"/>
  <c r="E54" i="23"/>
  <c r="BA6"/>
  <c r="D11"/>
  <c r="N18" i="27"/>
  <c r="P18"/>
  <c r="BY18"/>
  <c r="CZ18"/>
  <c r="DB18"/>
  <c r="S62"/>
  <c r="U62"/>
  <c r="X62"/>
  <c r="Y62"/>
  <c r="Z349" i="21"/>
  <c r="AA378"/>
  <c r="R83" i="29"/>
  <c r="T83"/>
  <c r="R153"/>
  <c r="T153"/>
  <c r="Z360" i="21"/>
  <c r="AW277"/>
  <c r="AW284"/>
  <c r="AB355"/>
  <c r="AF355"/>
  <c r="N184" i="29"/>
  <c r="N186"/>
  <c r="AA349" i="21"/>
  <c r="AA359"/>
  <c r="R90" i="29"/>
  <c r="T90"/>
  <c r="AA274" i="21"/>
  <c r="Z213"/>
  <c r="AA176"/>
  <c r="N129" i="29"/>
  <c r="O146"/>
  <c r="P146"/>
  <c r="AP123" i="21"/>
  <c r="AP129"/>
  <c r="AP149"/>
  <c r="AF335"/>
  <c r="Z169"/>
  <c r="L109" i="29"/>
  <c r="Z129" i="21"/>
  <c r="AO123"/>
  <c r="AO129"/>
  <c r="AO149"/>
  <c r="AB123"/>
  <c r="AD397"/>
  <c r="Q39" i="29"/>
  <c r="R152"/>
  <c r="T152"/>
  <c r="AI20" i="21"/>
  <c r="G21"/>
  <c r="G27"/>
  <c r="AJ20"/>
  <c r="N20"/>
  <c r="R12"/>
  <c r="AK12"/>
  <c r="H87" i="17"/>
  <c r="K86" i="8"/>
  <c r="J86"/>
  <c r="O140" i="29"/>
  <c r="P140"/>
  <c r="R68"/>
  <c r="T72"/>
  <c r="T98"/>
  <c r="AB64" i="27"/>
  <c r="AD64"/>
  <c r="AG64"/>
  <c r="AH64"/>
  <c r="AJ64"/>
  <c r="AB17"/>
  <c r="AD17"/>
  <c r="AG17"/>
  <c r="AJ17"/>
  <c r="AK17"/>
  <c r="AM17"/>
  <c r="AP17"/>
  <c r="AJ7"/>
  <c r="AK7"/>
  <c r="AM7"/>
  <c r="AP7"/>
  <c r="AB7"/>
  <c r="AD7"/>
  <c r="AG7"/>
  <c r="AJ18"/>
  <c r="AK18"/>
  <c r="AM18"/>
  <c r="AP18"/>
  <c r="AB18"/>
  <c r="AD18"/>
  <c r="AG18"/>
  <c r="AB56"/>
  <c r="AD56"/>
  <c r="AG56"/>
  <c r="AH56"/>
  <c r="AJ56"/>
  <c r="AJ57"/>
  <c r="AB57"/>
  <c r="AD57"/>
  <c r="AG57"/>
  <c r="AH57"/>
  <c r="AB10"/>
  <c r="AD10"/>
  <c r="AG10"/>
  <c r="AJ10"/>
  <c r="AK10"/>
  <c r="AM10"/>
  <c r="AP10"/>
  <c r="AJ59"/>
  <c r="AB59"/>
  <c r="AD59"/>
  <c r="AG59"/>
  <c r="AH59"/>
  <c r="P64"/>
  <c r="DM64"/>
  <c r="AB12"/>
  <c r="AD12"/>
  <c r="AG12"/>
  <c r="AJ12"/>
  <c r="AK12"/>
  <c r="AM12"/>
  <c r="AP12"/>
  <c r="P53"/>
  <c r="AB13"/>
  <c r="AD13"/>
  <c r="AG13"/>
  <c r="AJ13"/>
  <c r="AK13"/>
  <c r="AM13"/>
  <c r="AP13"/>
  <c r="AJ62"/>
  <c r="AB62"/>
  <c r="AD62"/>
  <c r="AG62"/>
  <c r="AH62"/>
  <c r="P57"/>
  <c r="DB57"/>
  <c r="CV7"/>
  <c r="CX7"/>
  <c r="DA7"/>
  <c r="CS57"/>
  <c r="R23"/>
  <c r="DK59"/>
  <c r="P60"/>
  <c r="DM62"/>
  <c r="DD6"/>
  <c r="DE6"/>
  <c r="DG6"/>
  <c r="DJ6"/>
  <c r="DK6"/>
  <c r="BC6"/>
  <c r="BE6"/>
  <c r="BH6"/>
  <c r="K44" i="30"/>
  <c r="J44"/>
  <c r="L44"/>
  <c r="Q118" i="29"/>
  <c r="R118"/>
  <c r="Q164"/>
  <c r="S164"/>
  <c r="AW234" i="21"/>
  <c r="AW245"/>
  <c r="T107" i="29"/>
  <c r="T70"/>
  <c r="L141"/>
  <c r="B31" i="30"/>
  <c r="P195" i="29"/>
  <c r="P144"/>
  <c r="P91"/>
  <c r="AW220" i="21"/>
  <c r="AW226"/>
  <c r="AW231"/>
  <c r="AW405"/>
  <c r="AW176"/>
  <c r="AW183"/>
  <c r="P156" i="29"/>
  <c r="Q151"/>
  <c r="S151"/>
  <c r="P196"/>
  <c r="S107"/>
  <c r="P201"/>
  <c r="P86"/>
  <c r="P68"/>
  <c r="P74"/>
  <c r="P194"/>
  <c r="P113"/>
  <c r="I19" i="17"/>
  <c r="J19"/>
  <c r="J20"/>
  <c r="I133" i="8"/>
  <c r="AB377" i="21"/>
  <c r="AE376"/>
  <c r="AE377"/>
  <c r="AE378"/>
  <c r="N197" i="29"/>
  <c r="P178"/>
  <c r="O179"/>
  <c r="M35" i="30"/>
  <c r="N35"/>
  <c r="Q172" i="29"/>
  <c r="P192"/>
  <c r="O197"/>
  <c r="M39" i="30"/>
  <c r="N39"/>
  <c r="P182" i="29"/>
  <c r="R183"/>
  <c r="T183"/>
  <c r="S183"/>
  <c r="O165"/>
  <c r="AF286" i="21"/>
  <c r="R166" i="29"/>
  <c r="T166"/>
  <c r="S166"/>
  <c r="P164"/>
  <c r="R156"/>
  <c r="S156"/>
  <c r="N141"/>
  <c r="O138"/>
  <c r="AF200" i="21"/>
  <c r="AC200"/>
  <c r="AD200"/>
  <c r="O137" i="29"/>
  <c r="AF198" i="21"/>
  <c r="AF194"/>
  <c r="AF196"/>
  <c r="AH194"/>
  <c r="P135" i="29"/>
  <c r="R136"/>
  <c r="T136"/>
  <c r="S136"/>
  <c r="AB196" i="21"/>
  <c r="R106" i="29"/>
  <c r="T106"/>
  <c r="R113"/>
  <c r="S113"/>
  <c r="S102"/>
  <c r="R102"/>
  <c r="T102"/>
  <c r="R85"/>
  <c r="T85"/>
  <c r="S85"/>
  <c r="S103"/>
  <c r="R103"/>
  <c r="T103"/>
  <c r="S79"/>
  <c r="R79"/>
  <c r="T79"/>
  <c r="S78"/>
  <c r="R78"/>
  <c r="T78"/>
  <c r="O116"/>
  <c r="P116"/>
  <c r="AA155" i="21"/>
  <c r="J9" i="17"/>
  <c r="K9"/>
  <c r="K10"/>
  <c r="J128" i="8"/>
  <c r="P97" i="29"/>
  <c r="O108"/>
  <c r="R115"/>
  <c r="T115"/>
  <c r="S115"/>
  <c r="S88"/>
  <c r="R88"/>
  <c r="T88"/>
  <c r="R101"/>
  <c r="T101"/>
  <c r="S101"/>
  <c r="R65"/>
  <c r="T65"/>
  <c r="S65"/>
  <c r="S89"/>
  <c r="R89"/>
  <c r="T89"/>
  <c r="R73"/>
  <c r="T73"/>
  <c r="S73"/>
  <c r="N108"/>
  <c r="O114"/>
  <c r="AF127" i="21"/>
  <c r="AH127"/>
  <c r="R69" i="29"/>
  <c r="T69"/>
  <c r="S69"/>
  <c r="R80"/>
  <c r="T80"/>
  <c r="S80"/>
  <c r="S86"/>
  <c r="R86"/>
  <c r="S91"/>
  <c r="R91"/>
  <c r="AO60" i="23"/>
  <c r="AP60"/>
  <c r="AQ60"/>
  <c r="AR60"/>
  <c r="AS60"/>
  <c r="AT60"/>
  <c r="AW60"/>
  <c r="D52"/>
  <c r="AG51"/>
  <c r="U38"/>
  <c r="C38"/>
  <c r="C33"/>
  <c r="Z16"/>
  <c r="AG16"/>
  <c r="T9"/>
  <c r="E106" i="13"/>
  <c r="E112"/>
  <c r="E8"/>
  <c r="F143"/>
  <c r="F144"/>
  <c r="K57" i="8"/>
  <c r="E92" i="13"/>
  <c r="S86" i="20"/>
  <c r="S87"/>
  <c r="S90"/>
  <c r="S85"/>
  <c r="Q91"/>
  <c r="R91"/>
  <c r="AL21" i="17"/>
  <c r="AF221" i="21"/>
  <c r="AC221"/>
  <c r="AD221"/>
  <c r="Q146" i="29"/>
  <c r="AF181" i="21"/>
  <c r="AC181"/>
  <c r="AD181"/>
  <c r="Q130" i="29"/>
  <c r="AW194" i="21"/>
  <c r="AW196"/>
  <c r="AW363"/>
  <c r="AW364"/>
  <c r="AW356"/>
  <c r="AW359"/>
  <c r="AW360"/>
  <c r="AW411"/>
  <c r="AB118"/>
  <c r="AF107"/>
  <c r="AI15"/>
  <c r="AJ15"/>
  <c r="N15"/>
  <c r="R15"/>
  <c r="K25" i="29"/>
  <c r="AF248" i="21"/>
  <c r="AB254"/>
  <c r="AW342"/>
  <c r="AW345"/>
  <c r="AW131"/>
  <c r="AW141"/>
  <c r="AQ199"/>
  <c r="AQ205"/>
  <c r="AQ213"/>
  <c r="AQ404"/>
  <c r="AA205"/>
  <c r="AA213"/>
  <c r="AB199"/>
  <c r="O139" i="29"/>
  <c r="AF373" i="21"/>
  <c r="AC373"/>
  <c r="AD373"/>
  <c r="Q194" i="29"/>
  <c r="AC298" i="21"/>
  <c r="AC303"/>
  <c r="AW335"/>
  <c r="AW337"/>
  <c r="AF371"/>
  <c r="AB374"/>
  <c r="AF202"/>
  <c r="AC202"/>
  <c r="AD202"/>
  <c r="AC269"/>
  <c r="AC273"/>
  <c r="G14"/>
  <c r="G18"/>
  <c r="N13"/>
  <c r="R13"/>
  <c r="K23" i="29"/>
  <c r="AI13" i="21"/>
  <c r="AJ13"/>
  <c r="AB330"/>
  <c r="AB409"/>
  <c r="AF329"/>
  <c r="AF330"/>
  <c r="AF143"/>
  <c r="AF148"/>
  <c r="AE163"/>
  <c r="AE168"/>
  <c r="AE169"/>
  <c r="AB168"/>
  <c r="AE262"/>
  <c r="AE267"/>
  <c r="AB267"/>
  <c r="O157" i="29"/>
  <c r="AF342" i="21"/>
  <c r="AC342"/>
  <c r="AD342"/>
  <c r="AF356"/>
  <c r="AC356"/>
  <c r="AD356"/>
  <c r="AQ294"/>
  <c r="AQ296"/>
  <c r="AQ304"/>
  <c r="AQ407"/>
  <c r="AA296"/>
  <c r="AA304"/>
  <c r="AB294"/>
  <c r="AB364"/>
  <c r="AH363"/>
  <c r="AF363"/>
  <c r="AF364"/>
  <c r="AE404"/>
  <c r="AF207"/>
  <c r="AF212"/>
  <c r="AH234"/>
  <c r="AB245"/>
  <c r="AF234"/>
  <c r="AF245"/>
  <c r="AC352"/>
  <c r="AC353"/>
  <c r="AC87"/>
  <c r="AB141"/>
  <c r="AF131"/>
  <c r="AE228"/>
  <c r="AE230"/>
  <c r="AE231"/>
  <c r="AB230"/>
  <c r="O147" i="29"/>
  <c r="AF385" i="21"/>
  <c r="G92" i="8"/>
  <c r="F92"/>
  <c r="H128"/>
  <c r="C20" i="10"/>
  <c r="S62" i="20"/>
  <c r="AJ57" i="23"/>
  <c r="F109" i="8"/>
  <c r="BN55" i="23"/>
  <c r="H102" i="8"/>
  <c r="J105"/>
  <c r="J102"/>
  <c r="I102"/>
  <c r="E4" i="4"/>
  <c r="I46" i="8"/>
  <c r="I44"/>
  <c r="R13" i="20"/>
  <c r="U11" i="17"/>
  <c r="U12"/>
  <c r="O13" i="20"/>
  <c r="R11" i="17"/>
  <c r="S61" i="20"/>
  <c r="AF36" i="23"/>
  <c r="AW13"/>
  <c r="E13"/>
  <c r="AW48"/>
  <c r="BE20"/>
  <c r="BN20"/>
  <c r="AH50"/>
  <c r="E59"/>
  <c r="AF59"/>
  <c r="AW53"/>
  <c r="BN19"/>
  <c r="BE19"/>
  <c r="BE42"/>
  <c r="BF42"/>
  <c r="BG42"/>
  <c r="BH42"/>
  <c r="BI42"/>
  <c r="BJ42"/>
  <c r="BK42"/>
  <c r="BN42"/>
  <c r="BE45"/>
  <c r="BN45"/>
  <c r="BE51"/>
  <c r="F51"/>
  <c r="E51"/>
  <c r="BN51"/>
  <c r="E27"/>
  <c r="AF27"/>
  <c r="E43"/>
  <c r="E17"/>
  <c r="AW17"/>
  <c r="AN56"/>
  <c r="AO56"/>
  <c r="AW56"/>
  <c r="AM55"/>
  <c r="E56"/>
  <c r="BE13"/>
  <c r="BF13"/>
  <c r="BG13"/>
  <c r="BH13"/>
  <c r="BI13"/>
  <c r="BJ13"/>
  <c r="BK13"/>
  <c r="BN13"/>
  <c r="BE27"/>
  <c r="BF27"/>
  <c r="BG27"/>
  <c r="BN27"/>
  <c r="BE37"/>
  <c r="BF37"/>
  <c r="BG37"/>
  <c r="BH37"/>
  <c r="BI37"/>
  <c r="BJ37"/>
  <c r="BK37"/>
  <c r="BN37"/>
  <c r="BE46"/>
  <c r="BF46"/>
  <c r="BN46"/>
  <c r="BN52"/>
  <c r="BE52"/>
  <c r="AF39"/>
  <c r="AW50"/>
  <c r="BI15"/>
  <c r="BJ15"/>
  <c r="BK15"/>
  <c r="BN18"/>
  <c r="BE18"/>
  <c r="BF18"/>
  <c r="BG18"/>
  <c r="BO18"/>
  <c r="BE29"/>
  <c r="BN29"/>
  <c r="AF30"/>
  <c r="AW29"/>
  <c r="AN29"/>
  <c r="AN37"/>
  <c r="AW37"/>
  <c r="BE17"/>
  <c r="BN17"/>
  <c r="BE24"/>
  <c r="BN24"/>
  <c r="BE28"/>
  <c r="BF28"/>
  <c r="BG28"/>
  <c r="BH28"/>
  <c r="BN28"/>
  <c r="BF32"/>
  <c r="BG32"/>
  <c r="BH32"/>
  <c r="BI32"/>
  <c r="BJ32"/>
  <c r="BK32"/>
  <c r="BE35"/>
  <c r="BN35"/>
  <c r="BE53"/>
  <c r="BF53"/>
  <c r="BG53"/>
  <c r="BH53"/>
  <c r="BI53"/>
  <c r="BJ53"/>
  <c r="BN53"/>
  <c r="AF40"/>
  <c r="V25"/>
  <c r="BR56"/>
  <c r="D24"/>
  <c r="BC25"/>
  <c r="AM24"/>
  <c r="E46"/>
  <c r="H48" i="8"/>
  <c r="G79"/>
  <c r="I70"/>
  <c r="J70"/>
  <c r="S54" i="20"/>
  <c r="G45" i="8"/>
  <c r="G88"/>
  <c r="F104"/>
  <c r="F111"/>
  <c r="D72"/>
  <c r="G98"/>
  <c r="G68"/>
  <c r="G96"/>
  <c r="G97"/>
  <c r="G95"/>
  <c r="G69"/>
  <c r="E69"/>
  <c r="G78"/>
  <c r="G42"/>
  <c r="F101" i="20"/>
  <c r="P101"/>
  <c r="S101"/>
  <c r="P91"/>
  <c r="K49" i="8"/>
  <c r="F108"/>
  <c r="D152" i="13"/>
  <c r="G43" i="8"/>
  <c r="F20" i="10"/>
  <c r="F110" i="8"/>
  <c r="O91" i="20"/>
  <c r="C25" i="23"/>
  <c r="G66" i="8"/>
  <c r="AP10" i="17"/>
  <c r="T9"/>
  <c r="T10"/>
  <c r="S12" i="20"/>
  <c r="BI55" i="23"/>
  <c r="BP57"/>
  <c r="BP55"/>
  <c r="I48" i="8"/>
  <c r="G50"/>
  <c r="J76"/>
  <c r="F148"/>
  <c r="E148"/>
  <c r="E144" i="13"/>
  <c r="J57" i="8"/>
  <c r="G63"/>
  <c r="G47"/>
  <c r="E26" i="23"/>
  <c r="AF26"/>
  <c r="J48" i="8"/>
  <c r="H44"/>
  <c r="D80"/>
  <c r="S88" i="20"/>
  <c r="F103" i="8"/>
  <c r="F106"/>
  <c r="AF31" i="23"/>
  <c r="E31"/>
  <c r="E28"/>
  <c r="AF28"/>
  <c r="E35"/>
  <c r="AF35"/>
  <c r="AW11"/>
  <c r="AW14"/>
  <c r="E14"/>
  <c r="AO31"/>
  <c r="AP31"/>
  <c r="AQ31"/>
  <c r="AO28"/>
  <c r="AP28"/>
  <c r="AQ28"/>
  <c r="AW52"/>
  <c r="E12"/>
  <c r="BE12"/>
  <c r="F12"/>
  <c r="E149" i="13"/>
  <c r="E32" i="23"/>
  <c r="AF32"/>
  <c r="AF29"/>
  <c r="E29"/>
  <c r="AW47"/>
  <c r="C149" i="13"/>
  <c r="H73" i="8"/>
  <c r="D143" i="13"/>
  <c r="I86" i="8"/>
  <c r="BH31" i="23"/>
  <c r="BO31"/>
  <c r="E48"/>
  <c r="AF48"/>
  <c r="E19"/>
  <c r="AW19"/>
  <c r="AO34"/>
  <c r="AO35"/>
  <c r="AP35"/>
  <c r="AQ35"/>
  <c r="AO58"/>
  <c r="AP58"/>
  <c r="AQ58"/>
  <c r="F149" i="13"/>
  <c r="H26" i="4"/>
  <c r="AW18" i="23"/>
  <c r="AN26"/>
  <c r="AM25"/>
  <c r="AN30"/>
  <c r="AW30"/>
  <c r="E30"/>
  <c r="AO27"/>
  <c r="AP27"/>
  <c r="AQ27"/>
  <c r="BE26"/>
  <c r="BD25"/>
  <c r="BN26"/>
  <c r="D45"/>
  <c r="BE11"/>
  <c r="BD10"/>
  <c r="BF30"/>
  <c r="BG30"/>
  <c r="BH30"/>
  <c r="AF23"/>
  <c r="F59"/>
  <c r="AF46"/>
  <c r="AG56"/>
  <c r="BO15"/>
  <c r="AF41"/>
  <c r="BD40"/>
  <c r="BN40"/>
  <c r="BF44"/>
  <c r="BG44"/>
  <c r="BH44"/>
  <c r="BD50"/>
  <c r="BE50"/>
  <c r="AQ59"/>
  <c r="AF14"/>
  <c r="AW26"/>
  <c r="AX51"/>
  <c r="BN30"/>
  <c r="H77" i="8"/>
  <c r="A84" i="17"/>
  <c r="D39" i="23"/>
  <c r="D49"/>
  <c r="BD49"/>
  <c r="BE49"/>
  <c r="E11"/>
  <c r="BO57"/>
  <c r="E47"/>
  <c r="BA8"/>
  <c r="AF54"/>
  <c r="AF43"/>
  <c r="D57"/>
  <c r="AM36"/>
  <c r="BC10"/>
  <c r="BD21"/>
  <c r="BE21"/>
  <c r="AF16"/>
  <c r="AW15"/>
  <c r="AM23"/>
  <c r="AW31"/>
  <c r="BN12"/>
  <c r="BO34"/>
  <c r="AF50"/>
  <c r="BK13" i="27"/>
  <c r="BC13"/>
  <c r="BE13"/>
  <c r="BH13"/>
  <c r="AK53"/>
  <c r="AM53"/>
  <c r="AP53"/>
  <c r="AQ53"/>
  <c r="AS53"/>
  <c r="CS56"/>
  <c r="DM56"/>
  <c r="CS60"/>
  <c r="DM60"/>
  <c r="CZ65"/>
  <c r="BK15"/>
  <c r="BL15"/>
  <c r="BN15"/>
  <c r="BQ15"/>
  <c r="BC15"/>
  <c r="BE15"/>
  <c r="BH15"/>
  <c r="CS53"/>
  <c r="DM53"/>
  <c r="DM59"/>
  <c r="P59"/>
  <c r="N7"/>
  <c r="M19"/>
  <c r="V7"/>
  <c r="DM57"/>
  <c r="BS55" i="23"/>
  <c r="DK62" i="27"/>
  <c r="BL6"/>
  <c r="BN6"/>
  <c r="BQ6"/>
  <c r="BT6"/>
  <c r="BC12"/>
  <c r="BE12"/>
  <c r="BH12"/>
  <c r="BK12"/>
  <c r="DK53"/>
  <c r="DB56"/>
  <c r="DB60"/>
  <c r="CG54"/>
  <c r="CH54"/>
  <c r="DH54"/>
  <c r="DI54"/>
  <c r="DK54"/>
  <c r="V54"/>
  <c r="W54"/>
  <c r="AT12"/>
  <c r="AV12"/>
  <c r="AY12"/>
  <c r="E7"/>
  <c r="E19"/>
  <c r="C46"/>
  <c r="BB7"/>
  <c r="F45"/>
  <c r="F46"/>
  <c r="T33" i="23"/>
  <c r="D8"/>
  <c r="V8"/>
  <c r="V60"/>
  <c r="D80" i="17"/>
  <c r="S82" i="20"/>
  <c r="E20" i="4"/>
  <c r="A86" i="17"/>
  <c r="U15" i="24"/>
  <c r="P3"/>
  <c r="E24" i="4"/>
  <c r="BG22" i="23"/>
  <c r="M44" i="32"/>
  <c r="K11" i="24"/>
  <c r="Q11"/>
  <c r="M37" i="32"/>
  <c r="J37"/>
  <c r="O44"/>
  <c r="J44"/>
  <c r="K35"/>
  <c r="J16" i="24"/>
  <c r="O38" i="32"/>
  <c r="L37"/>
  <c r="J3" i="24"/>
  <c r="BI22" i="23"/>
  <c r="I8" i="24"/>
  <c r="AQ22" i="23"/>
  <c r="G13" i="24"/>
  <c r="I3"/>
  <c r="BH22" i="23"/>
  <c r="I14" i="24"/>
  <c r="AD11" i="33"/>
  <c r="AE11"/>
  <c r="H9" i="24"/>
  <c r="F40" i="32"/>
  <c r="H39"/>
  <c r="AD12" i="33"/>
  <c r="AE12"/>
  <c r="AD20"/>
  <c r="X21"/>
  <c r="AC20"/>
  <c r="I17"/>
  <c r="J17"/>
  <c r="J16"/>
  <c r="Z13"/>
  <c r="AC13"/>
  <c r="Y14"/>
  <c r="Q15"/>
  <c r="R14"/>
  <c r="U14"/>
  <c r="O17"/>
  <c r="P17"/>
  <c r="P16"/>
  <c r="H15"/>
  <c r="G16"/>
  <c r="W16"/>
  <c r="X15"/>
  <c r="AU421" i="21"/>
  <c r="AF185"/>
  <c r="AF190"/>
  <c r="S44" i="29"/>
  <c r="S50"/>
  <c r="Q50"/>
  <c r="P22" i="30"/>
  <c r="Q22"/>
  <c r="R117" i="29"/>
  <c r="T117"/>
  <c r="AP421" i="21"/>
  <c r="F74" i="20"/>
  <c r="E24"/>
  <c r="O24"/>
  <c r="O74"/>
  <c r="AF313" i="21"/>
  <c r="AC313"/>
  <c r="AD313"/>
  <c r="Q174" i="29"/>
  <c r="S174"/>
  <c r="AB318" i="21"/>
  <c r="AB326"/>
  <c r="AB408"/>
  <c r="AD172"/>
  <c r="AD174"/>
  <c r="AO421"/>
  <c r="AW326"/>
  <c r="AW331"/>
  <c r="AW420"/>
  <c r="AB220"/>
  <c r="O145" i="29"/>
  <c r="P145"/>
  <c r="AF141" i="21"/>
  <c r="AB260"/>
  <c r="O159" i="29"/>
  <c r="O161"/>
  <c r="M31" i="30"/>
  <c r="AK401" i="21"/>
  <c r="AE274"/>
  <c r="AE406"/>
  <c r="AW274"/>
  <c r="AW406"/>
  <c r="AF320"/>
  <c r="AF325"/>
  <c r="AB392"/>
  <c r="AB423"/>
  <c r="AP410"/>
  <c r="AQ413"/>
  <c r="AF390"/>
  <c r="AF392"/>
  <c r="AQ423"/>
  <c r="O167" i="29"/>
  <c r="P167"/>
  <c r="AS419" i="21"/>
  <c r="AS424"/>
  <c r="AS393"/>
  <c r="AS415"/>
  <c r="AW349"/>
  <c r="CY65" i="27"/>
  <c r="AO410" i="21"/>
  <c r="AW213"/>
  <c r="AW404"/>
  <c r="AW191"/>
  <c r="AW403"/>
  <c r="AW378"/>
  <c r="AW412"/>
  <c r="AF374"/>
  <c r="Q52" i="29"/>
  <c r="S52"/>
  <c r="AW304" i="21"/>
  <c r="AW407"/>
  <c r="AQ408"/>
  <c r="AR415"/>
  <c r="AR424"/>
  <c r="AW422"/>
  <c r="AW413"/>
  <c r="Q193" i="29"/>
  <c r="S193"/>
  <c r="AH364" i="21"/>
  <c r="AH378"/>
  <c r="AH412"/>
  <c r="AP408"/>
  <c r="AF359"/>
  <c r="AF360"/>
  <c r="AF411"/>
  <c r="AM410"/>
  <c r="AM421"/>
  <c r="AQ410"/>
  <c r="AQ421"/>
  <c r="AT410"/>
  <c r="AT421"/>
  <c r="AN421"/>
  <c r="AN410"/>
  <c r="AC335"/>
  <c r="AC337"/>
  <c r="AF337"/>
  <c r="AO408"/>
  <c r="AO331"/>
  <c r="AO420"/>
  <c r="AN408"/>
  <c r="AN331"/>
  <c r="AN420"/>
  <c r="AM408"/>
  <c r="AM331"/>
  <c r="AM420"/>
  <c r="AC286"/>
  <c r="AC277"/>
  <c r="AC284"/>
  <c r="AF284"/>
  <c r="AH284"/>
  <c r="AH304"/>
  <c r="AH407"/>
  <c r="AA226"/>
  <c r="AA231"/>
  <c r="AF118"/>
  <c r="AC247"/>
  <c r="AF254"/>
  <c r="AQ220"/>
  <c r="AQ226"/>
  <c r="AQ231"/>
  <c r="AQ405"/>
  <c r="AH245"/>
  <c r="AH274"/>
  <c r="AH406"/>
  <c r="AD217"/>
  <c r="AC218"/>
  <c r="AW169"/>
  <c r="AW402"/>
  <c r="AW431"/>
  <c r="T73" i="20"/>
  <c r="U73"/>
  <c r="C81"/>
  <c r="AC198" i="21"/>
  <c r="AM418"/>
  <c r="AH196"/>
  <c r="AH213"/>
  <c r="AH404"/>
  <c r="AL419"/>
  <c r="AP418"/>
  <c r="AN418"/>
  <c r="AT419"/>
  <c r="AT401"/>
  <c r="AO418"/>
  <c r="AO419"/>
  <c r="AO401"/>
  <c r="AN401"/>
  <c r="AN419"/>
  <c r="AP401"/>
  <c r="AP419"/>
  <c r="AU419"/>
  <c r="AU401"/>
  <c r="AM419"/>
  <c r="AM401"/>
  <c r="AW119"/>
  <c r="AW400"/>
  <c r="AW430"/>
  <c r="T72" i="20"/>
  <c r="U72"/>
  <c r="C72"/>
  <c r="AF386" i="21"/>
  <c r="AC386"/>
  <c r="AE401"/>
  <c r="O112" i="29"/>
  <c r="P112"/>
  <c r="Q27"/>
  <c r="Q213"/>
  <c r="Z149" i="21"/>
  <c r="S26" i="29"/>
  <c r="R26"/>
  <c r="T26"/>
  <c r="AF177" i="21"/>
  <c r="AC177"/>
  <c r="AB387"/>
  <c r="AB388"/>
  <c r="AB413"/>
  <c r="P203" i="29"/>
  <c r="O203"/>
  <c r="M40" i="30"/>
  <c r="N40"/>
  <c r="O40"/>
  <c r="N133" i="29"/>
  <c r="S36"/>
  <c r="R36"/>
  <c r="T36"/>
  <c r="AC127" i="21"/>
  <c r="AH418"/>
  <c r="AH400"/>
  <c r="AH410"/>
  <c r="AE412"/>
  <c r="AE421"/>
  <c r="AE420"/>
  <c r="AE408"/>
  <c r="R94" i="29"/>
  <c r="T94"/>
  <c r="P213"/>
  <c r="F42" i="30"/>
  <c r="B42"/>
  <c r="Y13" i="27"/>
  <c r="AB414" i="21"/>
  <c r="AQ10" i="27"/>
  <c r="O176" i="29"/>
  <c r="M34" i="30"/>
  <c r="S100" i="29"/>
  <c r="AD152" i="21"/>
  <c r="AD153"/>
  <c r="AH17" i="27"/>
  <c r="M65"/>
  <c r="BO54" i="23"/>
  <c r="CQ65" i="27"/>
  <c r="O19" i="23"/>
  <c r="O59"/>
  <c r="AQ15" i="27"/>
  <c r="BR6"/>
  <c r="O48" i="23"/>
  <c r="BR18" i="27"/>
  <c r="AQ12"/>
  <c r="BT18"/>
  <c r="CC18"/>
  <c r="CD18"/>
  <c r="CF18"/>
  <c r="CI18"/>
  <c r="CJ18"/>
  <c r="BT17"/>
  <c r="CC17"/>
  <c r="CD17"/>
  <c r="CF17"/>
  <c r="CI17"/>
  <c r="CJ17"/>
  <c r="AH54"/>
  <c r="AH65"/>
  <c r="O29" i="23"/>
  <c r="O31"/>
  <c r="AF341" i="21"/>
  <c r="Y9" i="27"/>
  <c r="L88"/>
  <c r="BR17"/>
  <c r="B26"/>
  <c r="G81"/>
  <c r="BO65"/>
  <c r="BF65"/>
  <c r="CP65"/>
  <c r="L87"/>
  <c r="N65"/>
  <c r="O57" i="23"/>
  <c r="E94" i="17"/>
  <c r="AH10" i="27"/>
  <c r="DH65"/>
  <c r="BX65"/>
  <c r="AW65"/>
  <c r="R185" i="29"/>
  <c r="T185"/>
  <c r="S185"/>
  <c r="B86" i="27"/>
  <c r="AN65"/>
  <c r="DB10"/>
  <c r="L26"/>
  <c r="AZ6"/>
  <c r="O16" i="23"/>
  <c r="BO37"/>
  <c r="F13"/>
  <c r="AQ54" i="27"/>
  <c r="E85"/>
  <c r="DM10"/>
  <c r="AL12" i="21"/>
  <c r="AQ18" i="27"/>
  <c r="O30" i="23"/>
  <c r="AI23"/>
  <c r="O54"/>
  <c r="AH15" i="27"/>
  <c r="AX43" i="23"/>
  <c r="BC18" i="27"/>
  <c r="BE18"/>
  <c r="BH18"/>
  <c r="BI18"/>
  <c r="Y12"/>
  <c r="BC17"/>
  <c r="BE17"/>
  <c r="BH17"/>
  <c r="BI17"/>
  <c r="AH23" i="23"/>
  <c r="AB349" i="21"/>
  <c r="Y18" i="27"/>
  <c r="L85"/>
  <c r="BR15"/>
  <c r="O12" i="23"/>
  <c r="O56"/>
  <c r="AH13" i="27"/>
  <c r="AG17" i="23"/>
  <c r="AG24"/>
  <c r="AQ9" i="27"/>
  <c r="O18" i="23"/>
  <c r="E73" i="17"/>
  <c r="Y10" i="27"/>
  <c r="AE65"/>
  <c r="CG65"/>
  <c r="K27"/>
  <c r="D87"/>
  <c r="O17" i="23"/>
  <c r="E20"/>
  <c r="O20"/>
  <c r="E21"/>
  <c r="O21"/>
  <c r="O23"/>
  <c r="O24"/>
  <c r="E81" i="17"/>
  <c r="AH12" i="27"/>
  <c r="Y15"/>
  <c r="AF15" i="23"/>
  <c r="AF10"/>
  <c r="O28"/>
  <c r="O43"/>
  <c r="AH46"/>
  <c r="B88" i="27"/>
  <c r="AH18"/>
  <c r="BR39" i="23"/>
  <c r="P205" i="29"/>
  <c r="O207"/>
  <c r="M41" i="30"/>
  <c r="N41"/>
  <c r="AC391" i="21"/>
  <c r="L86" i="27"/>
  <c r="BI13"/>
  <c r="F30" i="23"/>
  <c r="G64" i="8"/>
  <c r="AW55" i="23"/>
  <c r="O51"/>
  <c r="E85" i="17"/>
  <c r="Q199" i="29"/>
  <c r="R199"/>
  <c r="AP19" i="17"/>
  <c r="F16" i="23"/>
  <c r="G99" i="8"/>
  <c r="F99"/>
  <c r="M87" i="27"/>
  <c r="BI12"/>
  <c r="O46" i="23"/>
  <c r="F52" i="17"/>
  <c r="F49"/>
  <c r="DM9" i="27"/>
  <c r="M26"/>
  <c r="AH9"/>
  <c r="M28"/>
  <c r="O35" i="23"/>
  <c r="F17"/>
  <c r="AC185" i="21"/>
  <c r="AB359"/>
  <c r="AQ13" i="27"/>
  <c r="AO21" i="17"/>
  <c r="M86" i="27"/>
  <c r="O32" i="23"/>
  <c r="O14"/>
  <c r="G393" i="21"/>
  <c r="X10" i="23"/>
  <c r="BI6" i="27"/>
  <c r="AN20" i="17"/>
  <c r="DM15" i="27"/>
  <c r="C88"/>
  <c r="DM6"/>
  <c r="M27"/>
  <c r="AX32" i="23"/>
  <c r="AH40"/>
  <c r="BK14"/>
  <c r="BL14"/>
  <c r="BM14"/>
  <c r="BQ14"/>
  <c r="BR14"/>
  <c r="W10"/>
  <c r="D10"/>
  <c r="AQ6" i="27"/>
  <c r="G46"/>
  <c r="DM13"/>
  <c r="Y17"/>
  <c r="DM12"/>
  <c r="BC9"/>
  <c r="BE9"/>
  <c r="BH9"/>
  <c r="BI9"/>
  <c r="BK9"/>
  <c r="O47" i="23"/>
  <c r="F57"/>
  <c r="AH11"/>
  <c r="O27"/>
  <c r="O13"/>
  <c r="P13" i="27"/>
  <c r="B27"/>
  <c r="AH15" i="23"/>
  <c r="M88" i="27"/>
  <c r="BO53" i="23"/>
  <c r="BH36"/>
  <c r="BI36"/>
  <c r="F46"/>
  <c r="D81" i="8"/>
  <c r="D82"/>
  <c r="AF20" i="23"/>
  <c r="R105" i="29"/>
  <c r="T105"/>
  <c r="Y6" i="27"/>
  <c r="AQ17"/>
  <c r="D86"/>
  <c r="BO47" i="23"/>
  <c r="AZ12" i="27"/>
  <c r="F27"/>
  <c r="D38" i="23"/>
  <c r="BO48"/>
  <c r="BP32"/>
  <c r="F47"/>
  <c r="B85" i="27"/>
  <c r="AS54"/>
  <c r="BB54"/>
  <c r="K88"/>
  <c r="DM17"/>
  <c r="E42" i="23"/>
  <c r="O42"/>
  <c r="L28" i="27"/>
  <c r="AG15" i="23"/>
  <c r="U9"/>
  <c r="AW123" i="21"/>
  <c r="K28" i="27"/>
  <c r="AG14" i="23"/>
  <c r="AG40"/>
  <c r="F28" i="27"/>
  <c r="AH20" i="23"/>
  <c r="W18"/>
  <c r="F18"/>
  <c r="AF18"/>
  <c r="V10"/>
  <c r="V9"/>
  <c r="BK10" i="27"/>
  <c r="BC10"/>
  <c r="BE10"/>
  <c r="BH10"/>
  <c r="BI10"/>
  <c r="AH21" i="23"/>
  <c r="DM18" i="27"/>
  <c r="D25" i="23"/>
  <c r="C87" i="27"/>
  <c r="C86"/>
  <c r="K86"/>
  <c r="BO13" i="23"/>
  <c r="AN55"/>
  <c r="AP17" i="17"/>
  <c r="AP18"/>
  <c r="K26" i="27"/>
  <c r="K87"/>
  <c r="BO16" i="23"/>
  <c r="BO43"/>
  <c r="BF51"/>
  <c r="G51"/>
  <c r="BF60"/>
  <c r="BG60"/>
  <c r="BH60"/>
  <c r="F54"/>
  <c r="E52" i="17"/>
  <c r="E49"/>
  <c r="AS60" i="27"/>
  <c r="AK60"/>
  <c r="AM60"/>
  <c r="AP60"/>
  <c r="AQ60"/>
  <c r="BH18" i="23"/>
  <c r="BI18"/>
  <c r="BJ18"/>
  <c r="BK18"/>
  <c r="BN50"/>
  <c r="BO42"/>
  <c r="F56"/>
  <c r="E50"/>
  <c r="O50"/>
  <c r="BI16"/>
  <c r="BJ16"/>
  <c r="BK16"/>
  <c r="BL16"/>
  <c r="BM16"/>
  <c r="BQ16"/>
  <c r="AG46"/>
  <c r="F37"/>
  <c r="AF37"/>
  <c r="BL34"/>
  <c r="BM34"/>
  <c r="W25"/>
  <c r="BO32"/>
  <c r="AH51"/>
  <c r="BF41"/>
  <c r="BG41"/>
  <c r="BH41"/>
  <c r="BI41"/>
  <c r="BJ41"/>
  <c r="BP13"/>
  <c r="AG11"/>
  <c r="BP34"/>
  <c r="AX35"/>
  <c r="AX28"/>
  <c r="F27"/>
  <c r="BP47"/>
  <c r="BF23"/>
  <c r="BG23"/>
  <c r="BH23"/>
  <c r="AB378" i="21"/>
  <c r="AB412"/>
  <c r="N189" i="29"/>
  <c r="N190"/>
  <c r="AA360" i="21"/>
  <c r="AF376"/>
  <c r="AQ176"/>
  <c r="AQ183"/>
  <c r="AQ191"/>
  <c r="AQ403"/>
  <c r="AA183"/>
  <c r="AA191"/>
  <c r="AB176"/>
  <c r="O129" i="29"/>
  <c r="P129"/>
  <c r="AH402" i="21"/>
  <c r="AB129"/>
  <c r="AH123"/>
  <c r="AH129"/>
  <c r="AH149"/>
  <c r="AF123"/>
  <c r="AF129"/>
  <c r="R39" i="29"/>
  <c r="Q42"/>
  <c r="P21" i="30"/>
  <c r="Q21"/>
  <c r="S39" i="29"/>
  <c r="R50"/>
  <c r="T44"/>
  <c r="T50"/>
  <c r="R20" i="21"/>
  <c r="AL20"/>
  <c r="R164" i="29"/>
  <c r="T164"/>
  <c r="Z12" i="21"/>
  <c r="S68" i="29"/>
  <c r="AJ21" i="21"/>
  <c r="AJ27"/>
  <c r="AJ396"/>
  <c r="N21"/>
  <c r="R21"/>
  <c r="K31" i="29"/>
  <c r="AI21" i="21"/>
  <c r="AI27"/>
  <c r="AI396"/>
  <c r="K22" i="29"/>
  <c r="D6" i="10"/>
  <c r="I39" i="8"/>
  <c r="D87" i="17"/>
  <c r="B87"/>
  <c r="A87"/>
  <c r="G70" i="8"/>
  <c r="O184" i="29"/>
  <c r="O39" i="30"/>
  <c r="O35"/>
  <c r="AS59" i="27"/>
  <c r="AK59"/>
  <c r="AM59"/>
  <c r="AP59"/>
  <c r="AQ59"/>
  <c r="AS64"/>
  <c r="AK64"/>
  <c r="AM64"/>
  <c r="AP64"/>
  <c r="AQ64"/>
  <c r="AK56"/>
  <c r="AM56"/>
  <c r="AP56"/>
  <c r="AQ56"/>
  <c r="AS56"/>
  <c r="L27"/>
  <c r="AK57"/>
  <c r="AM57"/>
  <c r="AP57"/>
  <c r="AQ57"/>
  <c r="AS57"/>
  <c r="R66" i="20"/>
  <c r="DI65" i="27"/>
  <c r="AK62"/>
  <c r="AM62"/>
  <c r="AP62"/>
  <c r="AQ62"/>
  <c r="AS62"/>
  <c r="D88"/>
  <c r="S118" i="29"/>
  <c r="Q138"/>
  <c r="R138"/>
  <c r="L9" i="17"/>
  <c r="L10"/>
  <c r="K128" i="8"/>
  <c r="Q200" i="29"/>
  <c r="S200"/>
  <c r="J10" i="17"/>
  <c r="I128" i="8"/>
  <c r="T86" i="29"/>
  <c r="T113"/>
  <c r="T156"/>
  <c r="R151"/>
  <c r="T151"/>
  <c r="T118"/>
  <c r="P137"/>
  <c r="P139"/>
  <c r="T91"/>
  <c r="T68"/>
  <c r="P179"/>
  <c r="P147"/>
  <c r="P165"/>
  <c r="P197"/>
  <c r="P157"/>
  <c r="P108"/>
  <c r="P138"/>
  <c r="P176"/>
  <c r="E79" i="8"/>
  <c r="I20" i="17"/>
  <c r="K19"/>
  <c r="L19"/>
  <c r="L20"/>
  <c r="S172" i="29"/>
  <c r="R172"/>
  <c r="R194"/>
  <c r="T194"/>
  <c r="S194"/>
  <c r="Q143"/>
  <c r="S146"/>
  <c r="R146"/>
  <c r="T146"/>
  <c r="O141"/>
  <c r="M29" i="30"/>
  <c r="N29"/>
  <c r="AC194" i="21"/>
  <c r="AC196"/>
  <c r="R130" i="29"/>
  <c r="T130"/>
  <c r="S130"/>
  <c r="O124"/>
  <c r="P119"/>
  <c r="P114"/>
  <c r="AB155" i="21"/>
  <c r="AA161"/>
  <c r="AQ155"/>
  <c r="AQ161"/>
  <c r="AQ169"/>
  <c r="AX60" i="23"/>
  <c r="AY60"/>
  <c r="AY51"/>
  <c r="G54"/>
  <c r="AA16"/>
  <c r="AB16"/>
  <c r="AC16"/>
  <c r="AH14"/>
  <c r="Y10"/>
  <c r="Z13"/>
  <c r="S13" i="20"/>
  <c r="S91"/>
  <c r="Z13" i="21"/>
  <c r="L23" i="29"/>
  <c r="AK13" i="21"/>
  <c r="AT13"/>
  <c r="AL13"/>
  <c r="AU13"/>
  <c r="AC131"/>
  <c r="AC141"/>
  <c r="AD298"/>
  <c r="AD352"/>
  <c r="AD353"/>
  <c r="AD269"/>
  <c r="AE405"/>
  <c r="AF228"/>
  <c r="AF230"/>
  <c r="AC363"/>
  <c r="AC364"/>
  <c r="AC329"/>
  <c r="AF409"/>
  <c r="AD87"/>
  <c r="AF163"/>
  <c r="AF168"/>
  <c r="AE402"/>
  <c r="N14"/>
  <c r="N18"/>
  <c r="AI14"/>
  <c r="AI18"/>
  <c r="AJ14"/>
  <c r="AJ18"/>
  <c r="AL15"/>
  <c r="AU15"/>
  <c r="AB15"/>
  <c r="O25" i="29"/>
  <c r="P25"/>
  <c r="AK15" i="21"/>
  <c r="AT15"/>
  <c r="AD312"/>
  <c r="AC385"/>
  <c r="AC234"/>
  <c r="AC245"/>
  <c r="AC256"/>
  <c r="AC260"/>
  <c r="AC371"/>
  <c r="AC374"/>
  <c r="AC355"/>
  <c r="AF294"/>
  <c r="AF296"/>
  <c r="AB296"/>
  <c r="AB304"/>
  <c r="AB407"/>
  <c r="AF262"/>
  <c r="AF267"/>
  <c r="AT12"/>
  <c r="AM12"/>
  <c r="AC207"/>
  <c r="AC212"/>
  <c r="AC143"/>
  <c r="AC148"/>
  <c r="AF199"/>
  <c r="AF205"/>
  <c r="AF213"/>
  <c r="AB205"/>
  <c r="AB213"/>
  <c r="AB404"/>
  <c r="AC248"/>
  <c r="AC107"/>
  <c r="AC118"/>
  <c r="E92" i="8"/>
  <c r="V9" i="17"/>
  <c r="V10"/>
  <c r="F98" i="8"/>
  <c r="K48"/>
  <c r="E98"/>
  <c r="E45"/>
  <c r="F45"/>
  <c r="E20" i="10"/>
  <c r="G4" i="4"/>
  <c r="G20"/>
  <c r="J39" i="8"/>
  <c r="J46"/>
  <c r="J44"/>
  <c r="H29" i="4"/>
  <c r="D20" i="10"/>
  <c r="AO37" i="23"/>
  <c r="BL43"/>
  <c r="BM43"/>
  <c r="BF29"/>
  <c r="BG29"/>
  <c r="BH29"/>
  <c r="BL15"/>
  <c r="BM15"/>
  <c r="BO27"/>
  <c r="BH27"/>
  <c r="BF19"/>
  <c r="BG19"/>
  <c r="BH19"/>
  <c r="BO28"/>
  <c r="AW45"/>
  <c r="BP53"/>
  <c r="BK53"/>
  <c r="BL53"/>
  <c r="BF24"/>
  <c r="BG24"/>
  <c r="BH24"/>
  <c r="BL47"/>
  <c r="BM47"/>
  <c r="BP43"/>
  <c r="BP15"/>
  <c r="AG50"/>
  <c r="AU60"/>
  <c r="AV60"/>
  <c r="F43"/>
  <c r="BF20"/>
  <c r="F20"/>
  <c r="AX31"/>
  <c r="AN24"/>
  <c r="AW24"/>
  <c r="E24"/>
  <c r="BF35"/>
  <c r="BG35"/>
  <c r="BH35"/>
  <c r="BF17"/>
  <c r="BG17"/>
  <c r="BH17"/>
  <c r="AO29"/>
  <c r="AP29"/>
  <c r="AQ29"/>
  <c r="AR29"/>
  <c r="AS29"/>
  <c r="AT29"/>
  <c r="AU29"/>
  <c r="AV29"/>
  <c r="BF52"/>
  <c r="BG52"/>
  <c r="BH52"/>
  <c r="BF45"/>
  <c r="BG45"/>
  <c r="BH45"/>
  <c r="AG59"/>
  <c r="BO44"/>
  <c r="AX27"/>
  <c r="BQ58"/>
  <c r="BR58"/>
  <c r="R12" i="17"/>
  <c r="V11"/>
  <c r="V12"/>
  <c r="F88" i="8"/>
  <c r="E88"/>
  <c r="E96"/>
  <c r="F96"/>
  <c r="E78"/>
  <c r="F97"/>
  <c r="E97"/>
  <c r="F95"/>
  <c r="E95"/>
  <c r="E68"/>
  <c r="E42"/>
  <c r="E60" i="23"/>
  <c r="O60"/>
  <c r="W60"/>
  <c r="CH65" i="27"/>
  <c r="B87"/>
  <c r="K85"/>
  <c r="CS65"/>
  <c r="F26"/>
  <c r="BL13"/>
  <c r="BN13"/>
  <c r="BQ13"/>
  <c r="BR13"/>
  <c r="BT13"/>
  <c r="D13" i="17"/>
  <c r="I13"/>
  <c r="AN36" i="23"/>
  <c r="E36"/>
  <c r="O36"/>
  <c r="BF49"/>
  <c r="BG49"/>
  <c r="BH49"/>
  <c r="AW39"/>
  <c r="E39"/>
  <c r="AM38"/>
  <c r="AM33"/>
  <c r="AF38"/>
  <c r="BI30"/>
  <c r="BJ30"/>
  <c r="BK30"/>
  <c r="F42"/>
  <c r="BG46"/>
  <c r="BO46"/>
  <c r="G46"/>
  <c r="AN25"/>
  <c r="AO26"/>
  <c r="AX12"/>
  <c r="BL32"/>
  <c r="BM32"/>
  <c r="AU32"/>
  <c r="AV32"/>
  <c r="F152" i="13"/>
  <c r="K73" i="8"/>
  <c r="AX16" i="23"/>
  <c r="G16"/>
  <c r="F48"/>
  <c r="G86" i="8"/>
  <c r="G57" i="23"/>
  <c r="AP57"/>
  <c r="BL54"/>
  <c r="BM54"/>
  <c r="BF12"/>
  <c r="BG12"/>
  <c r="BH12"/>
  <c r="F11"/>
  <c r="BL42"/>
  <c r="BM42"/>
  <c r="AC17"/>
  <c r="E63" i="8"/>
  <c r="E66"/>
  <c r="E43"/>
  <c r="R65" i="20"/>
  <c r="D55" i="23"/>
  <c r="BN21"/>
  <c r="BC7" i="27"/>
  <c r="BE7"/>
  <c r="BH7"/>
  <c r="BK7"/>
  <c r="W8" i="23"/>
  <c r="E8"/>
  <c r="O8"/>
  <c r="AF8"/>
  <c r="M85" i="27"/>
  <c r="DK65"/>
  <c r="BU6"/>
  <c r="BW6"/>
  <c r="BZ6"/>
  <c r="CA6"/>
  <c r="CC6"/>
  <c r="CD6"/>
  <c r="CF6"/>
  <c r="CI6"/>
  <c r="CJ6"/>
  <c r="AE7"/>
  <c r="W7"/>
  <c r="V19"/>
  <c r="D11" i="17"/>
  <c r="I11"/>
  <c r="D17"/>
  <c r="I17"/>
  <c r="E15" i="23"/>
  <c r="O15"/>
  <c r="BO55"/>
  <c r="AG27"/>
  <c r="G27"/>
  <c r="AW25"/>
  <c r="AR59"/>
  <c r="BF50"/>
  <c r="F50"/>
  <c r="BE40"/>
  <c r="F40"/>
  <c r="BD38"/>
  <c r="BD33"/>
  <c r="E40"/>
  <c r="O40"/>
  <c r="V55"/>
  <c r="E58"/>
  <c r="AF58"/>
  <c r="BI28"/>
  <c r="BJ28"/>
  <c r="BK28"/>
  <c r="BF26"/>
  <c r="BE25"/>
  <c r="AR27"/>
  <c r="AS27"/>
  <c r="AT27"/>
  <c r="F19"/>
  <c r="C152" i="13"/>
  <c r="AX17" i="23"/>
  <c r="F29"/>
  <c r="F32"/>
  <c r="BL13"/>
  <c r="BM13"/>
  <c r="AR31"/>
  <c r="AS31"/>
  <c r="AT31"/>
  <c r="F14"/>
  <c r="F35"/>
  <c r="Q58" i="20"/>
  <c r="AH12" i="23"/>
  <c r="AC12"/>
  <c r="F69" i="8"/>
  <c r="B28" i="27"/>
  <c r="P65"/>
  <c r="DB65"/>
  <c r="BN49" i="23"/>
  <c r="BO30"/>
  <c r="AW42"/>
  <c r="AY32"/>
  <c r="AX58"/>
  <c r="BP48"/>
  <c r="AY43"/>
  <c r="AX41"/>
  <c r="AM10"/>
  <c r="E25"/>
  <c r="AI56"/>
  <c r="AJ56"/>
  <c r="Y54" i="27"/>
  <c r="W65"/>
  <c r="E55" i="17"/>
  <c r="Q66" i="20"/>
  <c r="R17"/>
  <c r="U19" i="17"/>
  <c r="U20"/>
  <c r="R58" i="20"/>
  <c r="E23" i="23"/>
  <c r="AN23"/>
  <c r="BF21"/>
  <c r="BG21"/>
  <c r="BH21"/>
  <c r="O11"/>
  <c r="AW49"/>
  <c r="E49"/>
  <c r="O49"/>
  <c r="G77" i="8"/>
  <c r="H76"/>
  <c r="D44" i="23"/>
  <c r="AF44"/>
  <c r="E34"/>
  <c r="AF34"/>
  <c r="BN38"/>
  <c r="E52"/>
  <c r="O52"/>
  <c r="BE10"/>
  <c r="BF11"/>
  <c r="G59"/>
  <c r="AO30"/>
  <c r="BL37"/>
  <c r="BM37"/>
  <c r="AR58"/>
  <c r="AS58"/>
  <c r="AT58"/>
  <c r="AP34"/>
  <c r="BL48"/>
  <c r="BM48"/>
  <c r="C144" i="13"/>
  <c r="H57" i="8"/>
  <c r="AX20" i="23"/>
  <c r="H31" i="4"/>
  <c r="AO55" i="23"/>
  <c r="AP56"/>
  <c r="G56"/>
  <c r="AW10"/>
  <c r="F28"/>
  <c r="AF25"/>
  <c r="E47" i="8"/>
  <c r="E50"/>
  <c r="BJ55" i="23"/>
  <c r="AB24"/>
  <c r="AH24"/>
  <c r="AG26"/>
  <c r="AD11"/>
  <c r="AF60"/>
  <c r="DM54" i="27"/>
  <c r="DM65"/>
  <c r="AW36" i="23"/>
  <c r="AX54"/>
  <c r="U33"/>
  <c r="BL12" i="27"/>
  <c r="BN12"/>
  <c r="BQ12"/>
  <c r="BR12"/>
  <c r="BT12"/>
  <c r="N19"/>
  <c r="P7"/>
  <c r="R64" i="20"/>
  <c r="AT53" i="27"/>
  <c r="AV53"/>
  <c r="AY53"/>
  <c r="AZ53"/>
  <c r="BB53"/>
  <c r="AF53" i="23"/>
  <c r="E53"/>
  <c r="O53"/>
  <c r="P58" i="20"/>
  <c r="BI44" i="23"/>
  <c r="BJ44"/>
  <c r="BK44"/>
  <c r="E41"/>
  <c r="O41"/>
  <c r="V38"/>
  <c r="AF45"/>
  <c r="E45"/>
  <c r="O45"/>
  <c r="BN25"/>
  <c r="AR35"/>
  <c r="AS35"/>
  <c r="AT35"/>
  <c r="BI31"/>
  <c r="BJ31"/>
  <c r="BK31"/>
  <c r="D144" i="13"/>
  <c r="I57" i="8"/>
  <c r="J73"/>
  <c r="E152" i="13"/>
  <c r="AR28" i="23"/>
  <c r="AS28"/>
  <c r="AT28"/>
  <c r="F31"/>
  <c r="AE14"/>
  <c r="AE15"/>
  <c r="F107" i="8"/>
  <c r="K105"/>
  <c r="G49"/>
  <c r="AW23" i="23"/>
  <c r="BN10"/>
  <c r="AF52"/>
  <c r="AX48"/>
  <c r="BP37"/>
  <c r="BP54"/>
  <c r="AX44"/>
  <c r="F21"/>
  <c r="BP42"/>
  <c r="AH17"/>
  <c r="O26"/>
  <c r="F26"/>
  <c r="B80" i="17"/>
  <c r="H20" i="10"/>
  <c r="G20"/>
  <c r="I20"/>
  <c r="H71" i="8"/>
  <c r="K39"/>
  <c r="G39"/>
  <c r="H94"/>
  <c r="H75"/>
  <c r="E93" i="17"/>
  <c r="H93" i="8"/>
  <c r="H74"/>
  <c r="J18" i="33"/>
  <c r="I18"/>
  <c r="O39" i="32"/>
  <c r="L11" i="24"/>
  <c r="M38" i="32"/>
  <c r="L38"/>
  <c r="H40"/>
  <c r="H45"/>
  <c r="H46"/>
  <c r="T16" i="24"/>
  <c r="K37" i="32"/>
  <c r="K6" i="24"/>
  <c r="L44" i="32"/>
  <c r="AD13" i="33"/>
  <c r="AE13"/>
  <c r="J9" i="24"/>
  <c r="H8"/>
  <c r="P9"/>
  <c r="H14"/>
  <c r="I13"/>
  <c r="U21" i="33"/>
  <c r="K4" i="24"/>
  <c r="F45" i="32"/>
  <c r="F46"/>
  <c r="AE20" i="33"/>
  <c r="P22"/>
  <c r="P23"/>
  <c r="J22"/>
  <c r="J23"/>
  <c r="R21"/>
  <c r="M15"/>
  <c r="Q16"/>
  <c r="R15"/>
  <c r="G17"/>
  <c r="H17"/>
  <c r="H16"/>
  <c r="M16"/>
  <c r="X16"/>
  <c r="W17"/>
  <c r="X17"/>
  <c r="P18"/>
  <c r="O18"/>
  <c r="Z14"/>
  <c r="Y15"/>
  <c r="D27" i="27"/>
  <c r="AB331" i="21"/>
  <c r="AB420"/>
  <c r="D81" i="20"/>
  <c r="C83"/>
  <c r="W19" i="17"/>
  <c r="D73" i="20"/>
  <c r="C23"/>
  <c r="G74"/>
  <c r="F24"/>
  <c r="D72"/>
  <c r="C22"/>
  <c r="R174" i="29"/>
  <c r="T174"/>
  <c r="AC318" i="21"/>
  <c r="AW408"/>
  <c r="AD318"/>
  <c r="AF318"/>
  <c r="AF326"/>
  <c r="AF331"/>
  <c r="Q127" i="29"/>
  <c r="R127"/>
  <c r="AC387" i="21"/>
  <c r="AC388"/>
  <c r="AC413"/>
  <c r="AF149"/>
  <c r="O148" i="29"/>
  <c r="M30" i="30"/>
  <c r="N30"/>
  <c r="O30"/>
  <c r="AB226" i="21"/>
  <c r="AB231"/>
  <c r="AB405"/>
  <c r="AF220"/>
  <c r="AF226"/>
  <c r="AF231"/>
  <c r="AC320"/>
  <c r="AC325"/>
  <c r="AB274"/>
  <c r="AB406"/>
  <c r="AC390"/>
  <c r="AD390"/>
  <c r="O169" i="29"/>
  <c r="M32" i="30"/>
  <c r="N32"/>
  <c r="O32"/>
  <c r="AH421" i="21"/>
  <c r="AW421"/>
  <c r="AD335"/>
  <c r="AD337"/>
  <c r="AW410"/>
  <c r="Q74" i="29"/>
  <c r="P23" i="30"/>
  <c r="R52" i="29"/>
  <c r="O120"/>
  <c r="M26" i="30"/>
  <c r="N26"/>
  <c r="O26"/>
  <c r="O25"/>
  <c r="AH393" i="21"/>
  <c r="AD277"/>
  <c r="AD284"/>
  <c r="AI393"/>
  <c r="AJ393"/>
  <c r="AF387"/>
  <c r="AF388"/>
  <c r="AF422"/>
  <c r="AC376"/>
  <c r="AC377"/>
  <c r="AC378"/>
  <c r="AC412"/>
  <c r="AF377"/>
  <c r="AF378"/>
  <c r="AF412"/>
  <c r="AC359"/>
  <c r="AC360"/>
  <c r="AC411"/>
  <c r="AC341"/>
  <c r="AD341"/>
  <c r="AD345"/>
  <c r="AF345"/>
  <c r="AF349"/>
  <c r="AC330"/>
  <c r="AD303"/>
  <c r="Q168" i="29"/>
  <c r="AF304" i="21"/>
  <c r="AF407"/>
  <c r="AD286"/>
  <c r="AF274"/>
  <c r="AF406"/>
  <c r="AD273"/>
  <c r="Q160" i="29"/>
  <c r="AD247" i="21"/>
  <c r="AC254"/>
  <c r="Q144" i="29"/>
  <c r="AD218" i="21"/>
  <c r="AD198"/>
  <c r="AD185"/>
  <c r="AC190"/>
  <c r="AQ402"/>
  <c r="AQ419"/>
  <c r="AW418"/>
  <c r="AW426"/>
  <c r="AW129"/>
  <c r="AW149"/>
  <c r="AI395"/>
  <c r="AI415"/>
  <c r="AI417"/>
  <c r="AI424"/>
  <c r="AJ395"/>
  <c r="AJ415"/>
  <c r="AJ417"/>
  <c r="AJ424"/>
  <c r="AA169"/>
  <c r="L22" i="29"/>
  <c r="AC123" i="21"/>
  <c r="AC129"/>
  <c r="AC149"/>
  <c r="AN12"/>
  <c r="S27" i="29"/>
  <c r="S213"/>
  <c r="C31" i="20"/>
  <c r="D31"/>
  <c r="E31"/>
  <c r="F31"/>
  <c r="G31"/>
  <c r="H31"/>
  <c r="I31"/>
  <c r="J31"/>
  <c r="K31"/>
  <c r="L31"/>
  <c r="M31"/>
  <c r="N31"/>
  <c r="R27" i="29"/>
  <c r="T27"/>
  <c r="AU20" i="21"/>
  <c r="G27" i="27"/>
  <c r="AB422" i="21"/>
  <c r="X203" i="29"/>
  <c r="AD177" i="21"/>
  <c r="AD386"/>
  <c r="AD127"/>
  <c r="AE419"/>
  <c r="AF414"/>
  <c r="AF423"/>
  <c r="N34" i="30"/>
  <c r="N33"/>
  <c r="M33"/>
  <c r="O212" i="29"/>
  <c r="C9" i="20"/>
  <c r="S42" i="29"/>
  <c r="F44" i="30"/>
  <c r="C27" i="27"/>
  <c r="O41" i="30"/>
  <c r="E26" i="27"/>
  <c r="AB410" i="21"/>
  <c r="Q122" i="29"/>
  <c r="S122"/>
  <c r="E88" i="27"/>
  <c r="BU18"/>
  <c r="BW18"/>
  <c r="BZ18"/>
  <c r="CA18"/>
  <c r="DN18"/>
  <c r="E27"/>
  <c r="N88"/>
  <c r="BU17"/>
  <c r="BW17"/>
  <c r="BZ17"/>
  <c r="CA17"/>
  <c r="J28"/>
  <c r="H28"/>
  <c r="D28"/>
  <c r="C26"/>
  <c r="AB183" i="21"/>
  <c r="AB191"/>
  <c r="AB403"/>
  <c r="D85" i="27"/>
  <c r="D89"/>
  <c r="E70" i="8"/>
  <c r="F70"/>
  <c r="D26" i="27"/>
  <c r="G28"/>
  <c r="AU12" i="21"/>
  <c r="N86" i="27"/>
  <c r="C28"/>
  <c r="AJ23" i="23"/>
  <c r="S199" i="29"/>
  <c r="E64" i="8"/>
  <c r="F64"/>
  <c r="BG51" i="23"/>
  <c r="BO51"/>
  <c r="DN15" i="27"/>
  <c r="AG10" i="23"/>
  <c r="AB360" i="21"/>
  <c r="AB411"/>
  <c r="L89" i="27"/>
  <c r="O189" i="29"/>
  <c r="P189"/>
  <c r="Q28" i="27"/>
  <c r="P184" i="29"/>
  <c r="P186"/>
  <c r="O186"/>
  <c r="M37" i="30"/>
  <c r="Q87" i="27"/>
  <c r="Q27"/>
  <c r="Q88"/>
  <c r="P207" i="29"/>
  <c r="G20" i="23"/>
  <c r="AD391" i="21"/>
  <c r="E99" i="8"/>
  <c r="Q26" i="27"/>
  <c r="AQ65"/>
  <c r="Q86"/>
  <c r="G26"/>
  <c r="G26" i="23"/>
  <c r="W9"/>
  <c r="AP20" i="17"/>
  <c r="AN21"/>
  <c r="AP21"/>
  <c r="E28" i="27"/>
  <c r="AF176" i="21"/>
  <c r="AT54" i="27"/>
  <c r="AV54"/>
  <c r="AY54"/>
  <c r="AZ54"/>
  <c r="F85"/>
  <c r="BC54"/>
  <c r="BE54"/>
  <c r="BH54"/>
  <c r="BI54"/>
  <c r="BK54"/>
  <c r="BT9"/>
  <c r="BL9"/>
  <c r="BN9"/>
  <c r="BQ9"/>
  <c r="BR9"/>
  <c r="BO60" i="23"/>
  <c r="AH47"/>
  <c r="AY29"/>
  <c r="E87" i="27"/>
  <c r="AG21" i="23"/>
  <c r="BT10" i="27"/>
  <c r="BL10"/>
  <c r="BN10"/>
  <c r="BQ10"/>
  <c r="BR10"/>
  <c r="AG20" i="23"/>
  <c r="X18"/>
  <c r="Y18"/>
  <c r="Z18"/>
  <c r="AA18"/>
  <c r="AB18"/>
  <c r="AG47"/>
  <c r="G17"/>
  <c r="BO29"/>
  <c r="AZ46"/>
  <c r="BI60"/>
  <c r="BJ60"/>
  <c r="BK60"/>
  <c r="BL60"/>
  <c r="BM60"/>
  <c r="AB149" i="21"/>
  <c r="V33" i="23"/>
  <c r="DN6" i="27"/>
  <c r="AZ32" i="23"/>
  <c r="BA32"/>
  <c r="AX53"/>
  <c r="AT60" i="27"/>
  <c r="AV60"/>
  <c r="AY60"/>
  <c r="AZ60"/>
  <c r="BB60"/>
  <c r="BO23" i="23"/>
  <c r="AH16"/>
  <c r="E10"/>
  <c r="AY44"/>
  <c r="AX29"/>
  <c r="BQ47"/>
  <c r="BR47"/>
  <c r="BP16"/>
  <c r="BR16"/>
  <c r="BN33"/>
  <c r="BQ42"/>
  <c r="BR42"/>
  <c r="BO35"/>
  <c r="AG30"/>
  <c r="BO41"/>
  <c r="BI23"/>
  <c r="BJ23"/>
  <c r="BK23"/>
  <c r="AL9"/>
  <c r="AL5"/>
  <c r="AL4"/>
  <c r="BQ13"/>
  <c r="BR13"/>
  <c r="BQ34"/>
  <c r="BR34"/>
  <c r="AZ29"/>
  <c r="AI51"/>
  <c r="AJ51"/>
  <c r="BP41"/>
  <c r="BK41"/>
  <c r="AY27"/>
  <c r="BO12"/>
  <c r="O133" i="29"/>
  <c r="M28" i="30"/>
  <c r="N28"/>
  <c r="AO12" i="21"/>
  <c r="AP12"/>
  <c r="AB12"/>
  <c r="S74" i="29"/>
  <c r="N123"/>
  <c r="AK20" i="21"/>
  <c r="K30" i="29"/>
  <c r="R42"/>
  <c r="T39"/>
  <c r="AB20" i="21"/>
  <c r="G128" i="8"/>
  <c r="E128"/>
  <c r="R200" i="29"/>
  <c r="T200"/>
  <c r="N27" i="21"/>
  <c r="N393"/>
  <c r="K20" i="17"/>
  <c r="J133" i="8"/>
  <c r="R27" i="21"/>
  <c r="AN20"/>
  <c r="AB21"/>
  <c r="O31" i="29"/>
  <c r="P31"/>
  <c r="AK21" i="21"/>
  <c r="AT21"/>
  <c r="AL21"/>
  <c r="AU21"/>
  <c r="O29" i="30"/>
  <c r="AT59" i="27"/>
  <c r="AV59"/>
  <c r="AY59"/>
  <c r="AZ59"/>
  <c r="BB59"/>
  <c r="AT62"/>
  <c r="AV62"/>
  <c r="AY62"/>
  <c r="AZ62"/>
  <c r="BB62"/>
  <c r="BB64"/>
  <c r="AT64"/>
  <c r="AV64"/>
  <c r="AY64"/>
  <c r="AZ64"/>
  <c r="BB57"/>
  <c r="AT57"/>
  <c r="AV57"/>
  <c r="AY57"/>
  <c r="AZ57"/>
  <c r="E86"/>
  <c r="BB56"/>
  <c r="AT56"/>
  <c r="AV56"/>
  <c r="AY56"/>
  <c r="AZ56"/>
  <c r="H27"/>
  <c r="R193" i="29"/>
  <c r="T193"/>
  <c r="S138"/>
  <c r="AD194" i="21"/>
  <c r="AD196"/>
  <c r="T138" i="29"/>
  <c r="P169"/>
  <c r="T199"/>
  <c r="P148"/>
  <c r="H133" i="8"/>
  <c r="P124" i="29"/>
  <c r="P212"/>
  <c r="P133"/>
  <c r="P141"/>
  <c r="F79" i="8"/>
  <c r="Q173" i="29"/>
  <c r="T172"/>
  <c r="Q188"/>
  <c r="P159"/>
  <c r="P161"/>
  <c r="R143"/>
  <c r="T143"/>
  <c r="S143"/>
  <c r="Q77"/>
  <c r="P120"/>
  <c r="AD15" i="21"/>
  <c r="Q25" i="29"/>
  <c r="AB161" i="21"/>
  <c r="AF155"/>
  <c r="AF161"/>
  <c r="AF169"/>
  <c r="AZ51" i="23"/>
  <c r="AG54"/>
  <c r="AG42"/>
  <c r="H54"/>
  <c r="P54"/>
  <c r="AI47"/>
  <c r="AG39"/>
  <c r="AD16"/>
  <c r="AE16"/>
  <c r="AA13"/>
  <c r="Z10"/>
  <c r="AD256" i="21"/>
  <c r="AD260"/>
  <c r="AC199"/>
  <c r="AC205"/>
  <c r="AC213"/>
  <c r="AF404"/>
  <c r="AO13"/>
  <c r="AP13"/>
  <c r="AD324"/>
  <c r="AC262"/>
  <c r="AC267"/>
  <c r="AD371"/>
  <c r="AD374"/>
  <c r="AM13"/>
  <c r="R14"/>
  <c r="AD248"/>
  <c r="AN15"/>
  <c r="AC228"/>
  <c r="AC230"/>
  <c r="AB13"/>
  <c r="O23" i="29"/>
  <c r="P23"/>
  <c r="AD385" i="21"/>
  <c r="AD131"/>
  <c r="AD141"/>
  <c r="AN13"/>
  <c r="AD207"/>
  <c r="AD355"/>
  <c r="AM15"/>
  <c r="AD363"/>
  <c r="AD364"/>
  <c r="AD107"/>
  <c r="AD118"/>
  <c r="AD143"/>
  <c r="AD148"/>
  <c r="AC163"/>
  <c r="AC168"/>
  <c r="AD329"/>
  <c r="AC294"/>
  <c r="AD234"/>
  <c r="AD245"/>
  <c r="G48" i="8"/>
  <c r="K46"/>
  <c r="H30" i="4"/>
  <c r="BI52" i="23"/>
  <c r="BJ52"/>
  <c r="BK52"/>
  <c r="BI17"/>
  <c r="BJ17"/>
  <c r="BK17"/>
  <c r="BI24"/>
  <c r="BJ24"/>
  <c r="BK24"/>
  <c r="BL24"/>
  <c r="BM24"/>
  <c r="BI27"/>
  <c r="BJ27"/>
  <c r="BK27"/>
  <c r="AP37"/>
  <c r="AX37"/>
  <c r="BG20"/>
  <c r="BH20"/>
  <c r="BI19"/>
  <c r="BJ19"/>
  <c r="BK19"/>
  <c r="BP28"/>
  <c r="BO52"/>
  <c r="BO17"/>
  <c r="AX50"/>
  <c r="AX45"/>
  <c r="BI45"/>
  <c r="BJ45"/>
  <c r="BK45"/>
  <c r="G43"/>
  <c r="BM53"/>
  <c r="BQ53"/>
  <c r="BR53"/>
  <c r="AY41"/>
  <c r="AY48"/>
  <c r="BO19"/>
  <c r="BQ15"/>
  <c r="BR15"/>
  <c r="BQ43"/>
  <c r="BR43"/>
  <c r="BI35"/>
  <c r="BJ35"/>
  <c r="BK35"/>
  <c r="BL35"/>
  <c r="BM35"/>
  <c r="BQ35"/>
  <c r="AO24"/>
  <c r="F24"/>
  <c r="BI29"/>
  <c r="BJ29"/>
  <c r="BK29"/>
  <c r="AY28"/>
  <c r="X25"/>
  <c r="G12"/>
  <c r="BO45"/>
  <c r="AZ60"/>
  <c r="BA60"/>
  <c r="BO24"/>
  <c r="F68" i="8"/>
  <c r="F78"/>
  <c r="F42"/>
  <c r="O25" i="23"/>
  <c r="Q56" i="20"/>
  <c r="BL44" i="23"/>
  <c r="BM44"/>
  <c r="AX18"/>
  <c r="H59"/>
  <c r="P59"/>
  <c r="F34"/>
  <c r="E44"/>
  <c r="O44"/>
  <c r="E72" i="17"/>
  <c r="O10" i="23"/>
  <c r="F55" i="17"/>
  <c r="F56"/>
  <c r="AU27" i="23"/>
  <c r="AV27"/>
  <c r="BL28"/>
  <c r="BM28"/>
  <c r="W55"/>
  <c r="F58"/>
  <c r="BG50"/>
  <c r="G50"/>
  <c r="AO10"/>
  <c r="F15"/>
  <c r="F10"/>
  <c r="W19" i="27"/>
  <c r="Y7"/>
  <c r="BL7"/>
  <c r="BN7"/>
  <c r="BQ7"/>
  <c r="BT7"/>
  <c r="AD17" i="23"/>
  <c r="AQ57"/>
  <c r="H57"/>
  <c r="P57"/>
  <c r="F94" i="17"/>
  <c r="I94" i="8"/>
  <c r="AX57" i="23"/>
  <c r="Q57" i="20"/>
  <c r="F39" i="23"/>
  <c r="AN38"/>
  <c r="AN33"/>
  <c r="BI49"/>
  <c r="BJ49"/>
  <c r="BK49"/>
  <c r="R15" i="20"/>
  <c r="U15" i="17"/>
  <c r="U16"/>
  <c r="R56" i="20"/>
  <c r="F6" i="10"/>
  <c r="N87" i="27"/>
  <c r="B89"/>
  <c r="BQ48" i="23"/>
  <c r="BR48"/>
  <c r="AY58"/>
  <c r="BQ37"/>
  <c r="BR37"/>
  <c r="O65" i="20"/>
  <c r="BQ54" i="23"/>
  <c r="BR54"/>
  <c r="BP30"/>
  <c r="K102" i="8"/>
  <c r="G105"/>
  <c r="G133"/>
  <c r="K133"/>
  <c r="E49"/>
  <c r="AU28" i="23"/>
  <c r="AV28"/>
  <c r="AU35"/>
  <c r="AV35"/>
  <c r="F25"/>
  <c r="F45"/>
  <c r="AI15"/>
  <c r="AJ15"/>
  <c r="G31"/>
  <c r="F41"/>
  <c r="W38"/>
  <c r="F53"/>
  <c r="CC12" i="27"/>
  <c r="CD12"/>
  <c r="CF12"/>
  <c r="CI12"/>
  <c r="CJ12"/>
  <c r="BU12"/>
  <c r="BW12"/>
  <c r="BZ12"/>
  <c r="CA12"/>
  <c r="BK55" i="23"/>
  <c r="H56"/>
  <c r="P56"/>
  <c r="AQ56"/>
  <c r="AP55"/>
  <c r="AQ34"/>
  <c r="BJ36"/>
  <c r="O34"/>
  <c r="P65" i="20"/>
  <c r="H17" i="23"/>
  <c r="G73" i="8"/>
  <c r="AG36" i="23"/>
  <c r="BF25"/>
  <c r="BG26"/>
  <c r="AS59"/>
  <c r="I18" i="17"/>
  <c r="J17"/>
  <c r="I12"/>
  <c r="J11"/>
  <c r="P66" i="20"/>
  <c r="P17"/>
  <c r="S19" i="17"/>
  <c r="S20"/>
  <c r="F8" i="23"/>
  <c r="X8"/>
  <c r="F43" i="8"/>
  <c r="H21" i="23"/>
  <c r="AX21"/>
  <c r="BI12"/>
  <c r="BJ12"/>
  <c r="BK12"/>
  <c r="G48"/>
  <c r="H12"/>
  <c r="G42"/>
  <c r="AO36"/>
  <c r="F36"/>
  <c r="E6" i="10"/>
  <c r="H4" i="4"/>
  <c r="F60" i="23"/>
  <c r="X60"/>
  <c r="BP31"/>
  <c r="AY35"/>
  <c r="BP44"/>
  <c r="BP18"/>
  <c r="AX52"/>
  <c r="AY31"/>
  <c r="AI46"/>
  <c r="AJ46"/>
  <c r="AN10"/>
  <c r="BQ32"/>
  <c r="BR32"/>
  <c r="BO49"/>
  <c r="AX56"/>
  <c r="BL18"/>
  <c r="BM18"/>
  <c r="AE11"/>
  <c r="F50" i="8"/>
  <c r="G28" i="23"/>
  <c r="AF33"/>
  <c r="AO23"/>
  <c r="F23"/>
  <c r="AD12"/>
  <c r="AU31"/>
  <c r="AV31"/>
  <c r="O58"/>
  <c r="E55"/>
  <c r="M89" i="27"/>
  <c r="F66" i="8"/>
  <c r="G47" i="23"/>
  <c r="F86" i="8"/>
  <c r="E86"/>
  <c r="BH46" i="23"/>
  <c r="H46"/>
  <c r="P46"/>
  <c r="G13"/>
  <c r="AW38"/>
  <c r="AW33"/>
  <c r="J13" i="17"/>
  <c r="I14"/>
  <c r="P57" i="20"/>
  <c r="K89" i="27"/>
  <c r="Q85"/>
  <c r="R16" i="20"/>
  <c r="U17" i="17"/>
  <c r="U18"/>
  <c r="R57" i="20"/>
  <c r="P56"/>
  <c r="O56"/>
  <c r="BO21" i="23"/>
  <c r="G21"/>
  <c r="BO59"/>
  <c r="AI14"/>
  <c r="AJ14"/>
  <c r="BL31"/>
  <c r="BM31"/>
  <c r="H59" i="8"/>
  <c r="BK53" i="27"/>
  <c r="BC53"/>
  <c r="BE53"/>
  <c r="BH53"/>
  <c r="BI53"/>
  <c r="O64" i="20"/>
  <c r="B25" i="27"/>
  <c r="P19"/>
  <c r="AC24" i="23"/>
  <c r="F47" i="8"/>
  <c r="G57"/>
  <c r="AU58" i="23"/>
  <c r="AV58"/>
  <c r="AP30"/>
  <c r="AX30"/>
  <c r="G30"/>
  <c r="BG11"/>
  <c r="BF10"/>
  <c r="F52"/>
  <c r="G76" i="8"/>
  <c r="E77"/>
  <c r="F49" i="23"/>
  <c r="BI21"/>
  <c r="BJ21"/>
  <c r="BK21"/>
  <c r="E56" i="17"/>
  <c r="C85" i="27"/>
  <c r="Y65"/>
  <c r="G35" i="23"/>
  <c r="AX14"/>
  <c r="G14"/>
  <c r="G32"/>
  <c r="G29"/>
  <c r="G19"/>
  <c r="AF55"/>
  <c r="BF40"/>
  <c r="BE38"/>
  <c r="BE33"/>
  <c r="Q64" i="20"/>
  <c r="H27" i="23"/>
  <c r="P27"/>
  <c r="AE19" i="27"/>
  <c r="AF7"/>
  <c r="AN7"/>
  <c r="O58" i="20"/>
  <c r="S58"/>
  <c r="F63" i="8"/>
  <c r="G11" i="23"/>
  <c r="H16"/>
  <c r="P16"/>
  <c r="AP26"/>
  <c r="AO25"/>
  <c r="BL30"/>
  <c r="BM30"/>
  <c r="E38"/>
  <c r="O39"/>
  <c r="BU13" i="27"/>
  <c r="BW13"/>
  <c r="BZ13"/>
  <c r="CA13"/>
  <c r="CC13"/>
  <c r="CD13"/>
  <c r="CF13"/>
  <c r="CI13"/>
  <c r="CJ13"/>
  <c r="D33" i="23"/>
  <c r="Q17" i="20"/>
  <c r="T19" i="17"/>
  <c r="T20"/>
  <c r="AF9" i="23"/>
  <c r="AX34"/>
  <c r="E75" i="17"/>
  <c r="C17" i="10"/>
  <c r="C21"/>
  <c r="J4" i="4"/>
  <c r="AJ2" i="23"/>
  <c r="BA51"/>
  <c r="H91" i="8"/>
  <c r="H72"/>
  <c r="T52" i="29"/>
  <c r="T74"/>
  <c r="R74"/>
  <c r="Q23" i="30"/>
  <c r="P8" i="24"/>
  <c r="AP22" i="23"/>
  <c r="J38" i="32"/>
  <c r="M39"/>
  <c r="J39"/>
  <c r="M11" i="24"/>
  <c r="K16"/>
  <c r="Q16"/>
  <c r="G77" i="17"/>
  <c r="Q6" i="24"/>
  <c r="L6"/>
  <c r="L39" i="32"/>
  <c r="O40"/>
  <c r="H13" i="24"/>
  <c r="P13"/>
  <c r="P14"/>
  <c r="J8"/>
  <c r="AR22" i="23"/>
  <c r="J14" i="24"/>
  <c r="K3"/>
  <c r="Q4"/>
  <c r="Z21" i="33"/>
  <c r="AC14"/>
  <c r="X22"/>
  <c r="X23"/>
  <c r="Q17"/>
  <c r="R17"/>
  <c r="R16"/>
  <c r="U16"/>
  <c r="M4" i="24"/>
  <c r="U15" i="33"/>
  <c r="L4" i="24"/>
  <c r="M17" i="33"/>
  <c r="M18"/>
  <c r="H18"/>
  <c r="G18"/>
  <c r="Y16"/>
  <c r="Z15"/>
  <c r="AC15"/>
  <c r="X18"/>
  <c r="W18"/>
  <c r="H22"/>
  <c r="H23"/>
  <c r="N27" i="27"/>
  <c r="Q182" i="29"/>
  <c r="R182"/>
  <c r="S127"/>
  <c r="E81" i="20"/>
  <c r="O81"/>
  <c r="D83"/>
  <c r="D100"/>
  <c r="C100"/>
  <c r="AC326" i="21"/>
  <c r="AC331"/>
  <c r="E72" i="20"/>
  <c r="D22"/>
  <c r="H74"/>
  <c r="P74"/>
  <c r="G24"/>
  <c r="W20" i="17"/>
  <c r="E73" i="20"/>
  <c r="D23"/>
  <c r="AC392" i="21"/>
  <c r="AC423"/>
  <c r="AC220"/>
  <c r="AC226"/>
  <c r="AC231"/>
  <c r="AC405"/>
  <c r="AD320"/>
  <c r="AD325"/>
  <c r="AD326"/>
  <c r="AD376"/>
  <c r="AD377"/>
  <c r="AD378"/>
  <c r="AD412"/>
  <c r="AD349"/>
  <c r="AD387"/>
  <c r="AD388"/>
  <c r="AD422"/>
  <c r="Q163" i="29"/>
  <c r="S163"/>
  <c r="Q205"/>
  <c r="AD392" i="21"/>
  <c r="AD359"/>
  <c r="AD360"/>
  <c r="AD411"/>
  <c r="AC345"/>
  <c r="AC349"/>
  <c r="AC410"/>
  <c r="AD330"/>
  <c r="AD409"/>
  <c r="AC409"/>
  <c r="R168" i="29"/>
  <c r="T168"/>
  <c r="S168"/>
  <c r="S160"/>
  <c r="R160"/>
  <c r="T160"/>
  <c r="Q165"/>
  <c r="AC296" i="21"/>
  <c r="AC304"/>
  <c r="AC407"/>
  <c r="AC274"/>
  <c r="AC406"/>
  <c r="AD254"/>
  <c r="Q154" i="29"/>
  <c r="AF413" i="21"/>
  <c r="R144" i="29"/>
  <c r="T144"/>
  <c r="S144"/>
  <c r="AD212" i="21"/>
  <c r="Q140" i="29"/>
  <c r="Q137"/>
  <c r="AD190" i="21"/>
  <c r="Q132" i="29"/>
  <c r="AC176" i="21"/>
  <c r="AC183"/>
  <c r="AC191"/>
  <c r="AC403"/>
  <c r="AF183"/>
  <c r="AF191"/>
  <c r="AF403"/>
  <c r="AD123"/>
  <c r="AD129"/>
  <c r="AD149"/>
  <c r="AW419"/>
  <c r="AW401"/>
  <c r="AW429"/>
  <c r="U71" i="20"/>
  <c r="C71"/>
  <c r="AK27" i="21"/>
  <c r="AK396"/>
  <c r="AL27"/>
  <c r="AL396"/>
  <c r="AU27"/>
  <c r="AU396"/>
  <c r="R213" i="29"/>
  <c r="Q119"/>
  <c r="R119"/>
  <c r="O30"/>
  <c r="O209"/>
  <c r="C6" i="20"/>
  <c r="AD12" i="21"/>
  <c r="Q22" i="29"/>
  <c r="AW12" i="21"/>
  <c r="AB169"/>
  <c r="AB402"/>
  <c r="O27" i="27"/>
  <c r="AC401" i="21"/>
  <c r="AC422"/>
  <c r="Q114" i="29"/>
  <c r="Q131"/>
  <c r="Q202"/>
  <c r="AF420" i="21"/>
  <c r="AF408"/>
  <c r="AF410"/>
  <c r="AF421"/>
  <c r="AH401"/>
  <c r="AH415"/>
  <c r="AH419"/>
  <c r="AH424"/>
  <c r="AF401"/>
  <c r="AM20"/>
  <c r="AT20"/>
  <c r="AT27"/>
  <c r="AT396"/>
  <c r="O34" i="30"/>
  <c r="O33"/>
  <c r="T42" i="29"/>
  <c r="T213"/>
  <c r="N125"/>
  <c r="K37"/>
  <c r="N37" i="30"/>
  <c r="O26" i="27"/>
  <c r="AB421" i="21"/>
  <c r="AB401"/>
  <c r="R122" i="29"/>
  <c r="T122"/>
  <c r="BQ60" i="23"/>
  <c r="AE20" i="21"/>
  <c r="I28" i="27"/>
  <c r="P28"/>
  <c r="DN17"/>
  <c r="AJ47" i="23"/>
  <c r="E33"/>
  <c r="N28" i="27"/>
  <c r="N26"/>
  <c r="O28" i="30"/>
  <c r="O190" i="29"/>
  <c r="M38" i="30"/>
  <c r="N38"/>
  <c r="O38"/>
  <c r="O28" i="27"/>
  <c r="BH51" i="23"/>
  <c r="I51"/>
  <c r="H51"/>
  <c r="P51"/>
  <c r="F85" i="17"/>
  <c r="W33" i="23"/>
  <c r="X9"/>
  <c r="G18"/>
  <c r="P17"/>
  <c r="Q206" i="29"/>
  <c r="H20" i="23"/>
  <c r="P20"/>
  <c r="AZ65" i="27"/>
  <c r="E89"/>
  <c r="BL54"/>
  <c r="BN54"/>
  <c r="BQ54"/>
  <c r="BR54"/>
  <c r="BT54"/>
  <c r="CC9"/>
  <c r="CD9"/>
  <c r="CF9"/>
  <c r="CI9"/>
  <c r="CJ9"/>
  <c r="BU9"/>
  <c r="BW9"/>
  <c r="BZ9"/>
  <c r="CA9"/>
  <c r="AZ53" i="23"/>
  <c r="BQ24"/>
  <c r="P12"/>
  <c r="I54"/>
  <c r="G37"/>
  <c r="AY46"/>
  <c r="BA46"/>
  <c r="AG18"/>
  <c r="CC10" i="27"/>
  <c r="CD10"/>
  <c r="CF10"/>
  <c r="CI10"/>
  <c r="CJ10"/>
  <c r="BU10"/>
  <c r="BW10"/>
  <c r="BZ10"/>
  <c r="CA10"/>
  <c r="H26"/>
  <c r="AH18" i="23"/>
  <c r="AC18"/>
  <c r="AD18"/>
  <c r="AE18"/>
  <c r="BP12"/>
  <c r="G25"/>
  <c r="BP60"/>
  <c r="AZ45"/>
  <c r="BA29"/>
  <c r="BC60" i="27"/>
  <c r="BE60"/>
  <c r="BH60"/>
  <c r="BI60"/>
  <c r="BK60"/>
  <c r="AZ27" i="23"/>
  <c r="BA27"/>
  <c r="AI16"/>
  <c r="AJ16"/>
  <c r="O22" i="29"/>
  <c r="BL23" i="23"/>
  <c r="BM23"/>
  <c r="AH30"/>
  <c r="BP45"/>
  <c r="BL41"/>
  <c r="BM41"/>
  <c r="BP17"/>
  <c r="AG37"/>
  <c r="BP23"/>
  <c r="AF405" i="21"/>
  <c r="AC404"/>
  <c r="F128" i="8"/>
  <c r="Q135" i="29"/>
  <c r="S135"/>
  <c r="AB27" i="21"/>
  <c r="AB396"/>
  <c r="AE21"/>
  <c r="AF21"/>
  <c r="AC21"/>
  <c r="AD21"/>
  <c r="Q31" i="29"/>
  <c r="AM21" i="21"/>
  <c r="AN21"/>
  <c r="AN27"/>
  <c r="AN396"/>
  <c r="R25" i="29"/>
  <c r="T25"/>
  <c r="S25"/>
  <c r="K24"/>
  <c r="R18" i="21"/>
  <c r="R393"/>
  <c r="BK57" i="27"/>
  <c r="BC57"/>
  <c r="BE57"/>
  <c r="BH57"/>
  <c r="BI57"/>
  <c r="F86"/>
  <c r="F87"/>
  <c r="BK59"/>
  <c r="BC59"/>
  <c r="BE59"/>
  <c r="BH59"/>
  <c r="BI59"/>
  <c r="F88"/>
  <c r="BC56"/>
  <c r="BE56"/>
  <c r="BH56"/>
  <c r="BI56"/>
  <c r="BK56"/>
  <c r="BC62"/>
  <c r="BE62"/>
  <c r="BH62"/>
  <c r="BI62"/>
  <c r="BK62"/>
  <c r="BK64"/>
  <c r="BC64"/>
  <c r="BE64"/>
  <c r="BH64"/>
  <c r="BI64"/>
  <c r="N31" i="30"/>
  <c r="O31"/>
  <c r="Q201" i="29"/>
  <c r="P190"/>
  <c r="S173"/>
  <c r="R173"/>
  <c r="Q178"/>
  <c r="R188"/>
  <c r="T188"/>
  <c r="S188"/>
  <c r="Q195"/>
  <c r="Q192"/>
  <c r="Q159"/>
  <c r="Q150"/>
  <c r="Q155"/>
  <c r="Q97"/>
  <c r="AE15" i="21"/>
  <c r="AF15"/>
  <c r="Q116" i="29"/>
  <c r="T127"/>
  <c r="R77"/>
  <c r="S77"/>
  <c r="O123"/>
  <c r="AC155" i="21"/>
  <c r="AC161"/>
  <c r="AC169"/>
  <c r="AH54" i="23"/>
  <c r="AH42"/>
  <c r="AH39"/>
  <c r="P21"/>
  <c r="AB13"/>
  <c r="AA10"/>
  <c r="AK14" i="21"/>
  <c r="AK18"/>
  <c r="AL14"/>
  <c r="AL18"/>
  <c r="Z14"/>
  <c r="AD163"/>
  <c r="AD168"/>
  <c r="AF13"/>
  <c r="AC13"/>
  <c r="AD262"/>
  <c r="AD199"/>
  <c r="AD205"/>
  <c r="AD294"/>
  <c r="AD228"/>
  <c r="AW15"/>
  <c r="AW13"/>
  <c r="G46" i="8"/>
  <c r="E48"/>
  <c r="K44"/>
  <c r="BL19" i="23"/>
  <c r="BM19"/>
  <c r="AI59"/>
  <c r="BL27"/>
  <c r="BM27"/>
  <c r="BL52"/>
  <c r="BM52"/>
  <c r="AZ28"/>
  <c r="BA28"/>
  <c r="AZ41"/>
  <c r="BA41"/>
  <c r="BP19"/>
  <c r="AH59"/>
  <c r="BL29"/>
  <c r="BM29"/>
  <c r="H43"/>
  <c r="P43"/>
  <c r="AG43"/>
  <c r="BI20"/>
  <c r="BJ20"/>
  <c r="BK20"/>
  <c r="BQ30"/>
  <c r="BR30"/>
  <c r="BQ31"/>
  <c r="BR31"/>
  <c r="BP35"/>
  <c r="BR35"/>
  <c r="AY45"/>
  <c r="BP27"/>
  <c r="AY50"/>
  <c r="BP52"/>
  <c r="AP24"/>
  <c r="G24"/>
  <c r="BL45"/>
  <c r="BM45"/>
  <c r="AQ37"/>
  <c r="H37"/>
  <c r="BL17"/>
  <c r="BM17"/>
  <c r="AZ44"/>
  <c r="BA44"/>
  <c r="AZ50"/>
  <c r="BP29"/>
  <c r="AY53"/>
  <c r="BO20"/>
  <c r="BP24"/>
  <c r="O15" i="20"/>
  <c r="R15" i="17"/>
  <c r="AQ26" i="23"/>
  <c r="AP25"/>
  <c r="I27"/>
  <c r="F77" i="8"/>
  <c r="E76"/>
  <c r="G52" i="23"/>
  <c r="AD24"/>
  <c r="BT53" i="27"/>
  <c r="BL53"/>
  <c r="BN53"/>
  <c r="BQ53"/>
  <c r="BR53"/>
  <c r="R55" i="20"/>
  <c r="AP23" i="23"/>
  <c r="G23"/>
  <c r="H48"/>
  <c r="P48"/>
  <c r="AG48"/>
  <c r="J12" i="17"/>
  <c r="K11"/>
  <c r="AT59" i="23"/>
  <c r="AY59"/>
  <c r="E73" i="8"/>
  <c r="BK36" i="23"/>
  <c r="BP36"/>
  <c r="AR56"/>
  <c r="AQ55"/>
  <c r="I56"/>
  <c r="G41"/>
  <c r="X38"/>
  <c r="E133" i="8"/>
  <c r="F133"/>
  <c r="E105"/>
  <c r="G102"/>
  <c r="P64" i="20"/>
  <c r="S64"/>
  <c r="P15"/>
  <c r="S15" i="17"/>
  <c r="S16"/>
  <c r="F38" i="23"/>
  <c r="BH50"/>
  <c r="H50"/>
  <c r="P50"/>
  <c r="BO50"/>
  <c r="H55" i="17"/>
  <c r="G55"/>
  <c r="G34" i="23"/>
  <c r="DN13" i="27"/>
  <c r="AZ31" i="23"/>
  <c r="BA31"/>
  <c r="AY52"/>
  <c r="AZ35"/>
  <c r="BA35"/>
  <c r="H26"/>
  <c r="AX40"/>
  <c r="AH37"/>
  <c r="H11"/>
  <c r="P11"/>
  <c r="BF38"/>
  <c r="BF33"/>
  <c r="BG40"/>
  <c r="H40"/>
  <c r="H32"/>
  <c r="P32"/>
  <c r="H35"/>
  <c r="P35"/>
  <c r="O17" i="20"/>
  <c r="O66"/>
  <c r="S66"/>
  <c r="BG10" i="23"/>
  <c r="BH11"/>
  <c r="B29" i="27"/>
  <c r="G85"/>
  <c r="BI46" i="23"/>
  <c r="I46"/>
  <c r="O55"/>
  <c r="AE12"/>
  <c r="G49" i="17"/>
  <c r="H28" i="23"/>
  <c r="P28"/>
  <c r="AG28"/>
  <c r="AX55"/>
  <c r="G60"/>
  <c r="Y60"/>
  <c r="BL12"/>
  <c r="BM12"/>
  <c r="BQ12"/>
  <c r="H131" i="8"/>
  <c r="BG25" i="23"/>
  <c r="BH26"/>
  <c r="BO26"/>
  <c r="I17"/>
  <c r="G53"/>
  <c r="G45"/>
  <c r="F49" i="8"/>
  <c r="O16" i="20"/>
  <c r="O57"/>
  <c r="S57"/>
  <c r="J54" i="23"/>
  <c r="AE17"/>
  <c r="X55"/>
  <c r="G58"/>
  <c r="G55"/>
  <c r="I65" i="8"/>
  <c r="F64" i="17"/>
  <c r="H58" i="8"/>
  <c r="F44" i="23"/>
  <c r="I59"/>
  <c r="AZ58"/>
  <c r="BA58"/>
  <c r="S56" i="20"/>
  <c r="Q89" i="27"/>
  <c r="G40" i="23"/>
  <c r="AZ48"/>
  <c r="BA48"/>
  <c r="P16" i="20"/>
  <c r="S17" i="17"/>
  <c r="S18"/>
  <c r="Y25" i="23"/>
  <c r="Y9"/>
  <c r="AI19"/>
  <c r="AJ19"/>
  <c r="F93" i="17"/>
  <c r="I16" i="23"/>
  <c r="AF19" i="27"/>
  <c r="AH7"/>
  <c r="H19" i="23"/>
  <c r="P19"/>
  <c r="H29"/>
  <c r="P29"/>
  <c r="H14"/>
  <c r="P14"/>
  <c r="C89" i="27"/>
  <c r="N89"/>
  <c r="N85"/>
  <c r="H65" i="8"/>
  <c r="E64" i="17"/>
  <c r="BL21" i="23"/>
  <c r="BM21"/>
  <c r="G49"/>
  <c r="AX49"/>
  <c r="E57" i="8"/>
  <c r="C15" i="10"/>
  <c r="J14" i="17"/>
  <c r="K13"/>
  <c r="H13" i="23"/>
  <c r="P13"/>
  <c r="AX13"/>
  <c r="H47"/>
  <c r="P47"/>
  <c r="G6" i="10"/>
  <c r="AP36" i="23"/>
  <c r="G36"/>
  <c r="I21"/>
  <c r="G8"/>
  <c r="Y8"/>
  <c r="AG8"/>
  <c r="K17" i="17"/>
  <c r="J18"/>
  <c r="H61" i="8"/>
  <c r="AR34" i="23"/>
  <c r="H31"/>
  <c r="P31"/>
  <c r="AG31"/>
  <c r="AI40"/>
  <c r="BL49"/>
  <c r="BM49"/>
  <c r="AX39"/>
  <c r="G39"/>
  <c r="AO38"/>
  <c r="AO33"/>
  <c r="AR57"/>
  <c r="I57"/>
  <c r="AX15"/>
  <c r="G15"/>
  <c r="G10"/>
  <c r="J27" i="27"/>
  <c r="Q15" i="20"/>
  <c r="T15" i="17"/>
  <c r="T16"/>
  <c r="AX47" i="23"/>
  <c r="AX11"/>
  <c r="AG35"/>
  <c r="AZ43"/>
  <c r="BA43"/>
  <c r="AG32"/>
  <c r="AI11"/>
  <c r="O38"/>
  <c r="O33"/>
  <c r="AN19" i="27"/>
  <c r="AO7"/>
  <c r="AW7"/>
  <c r="AQ30" i="23"/>
  <c r="H30"/>
  <c r="P30"/>
  <c r="H129" i="8"/>
  <c r="H42" i="23"/>
  <c r="P42"/>
  <c r="AX42"/>
  <c r="I12"/>
  <c r="G132" i="8"/>
  <c r="H132"/>
  <c r="BL55" i="23"/>
  <c r="I27" i="27"/>
  <c r="DN12"/>
  <c r="CC7"/>
  <c r="CD7"/>
  <c r="CF7"/>
  <c r="CI7"/>
  <c r="BU7"/>
  <c r="BW7"/>
  <c r="BZ7"/>
  <c r="Y19"/>
  <c r="C25"/>
  <c r="F55" i="23"/>
  <c r="H18"/>
  <c r="I20"/>
  <c r="BP21"/>
  <c r="BQ18"/>
  <c r="BR18"/>
  <c r="BP49"/>
  <c r="BQ28"/>
  <c r="BR28"/>
  <c r="BQ44"/>
  <c r="BR44"/>
  <c r="AX19"/>
  <c r="BO11"/>
  <c r="AX26"/>
  <c r="AG29"/>
  <c r="E74" i="17"/>
  <c r="Q3" i="24"/>
  <c r="F24" i="4"/>
  <c r="BJ22" i="23"/>
  <c r="L16" i="24"/>
  <c r="M40" i="32"/>
  <c r="N11" i="24"/>
  <c r="R11"/>
  <c r="S11"/>
  <c r="K39" i="32"/>
  <c r="M6" i="24"/>
  <c r="M16"/>
  <c r="O45" i="32"/>
  <c r="O46"/>
  <c r="T11" i="24"/>
  <c r="L40" i="32"/>
  <c r="K38"/>
  <c r="AD15" i="33"/>
  <c r="AE15"/>
  <c r="L9" i="24"/>
  <c r="L14"/>
  <c r="L3"/>
  <c r="BK22" i="23"/>
  <c r="AD14" i="33"/>
  <c r="AE14"/>
  <c r="K9" i="24"/>
  <c r="J13"/>
  <c r="AD21" i="33"/>
  <c r="AC21"/>
  <c r="M22"/>
  <c r="M23"/>
  <c r="T14" i="24"/>
  <c r="R22" i="33"/>
  <c r="R23"/>
  <c r="Y17"/>
  <c r="Z17"/>
  <c r="AC17"/>
  <c r="N9" i="24"/>
  <c r="Z16" i="33"/>
  <c r="AC16"/>
  <c r="M9" i="24"/>
  <c r="M8"/>
  <c r="AU22" i="23"/>
  <c r="R18" i="33"/>
  <c r="Q18"/>
  <c r="U17"/>
  <c r="N4" i="24"/>
  <c r="S182" i="29"/>
  <c r="AC414" i="21"/>
  <c r="F81" i="20"/>
  <c r="E83"/>
  <c r="F72"/>
  <c r="E22"/>
  <c r="F73"/>
  <c r="E23"/>
  <c r="O23"/>
  <c r="O73"/>
  <c r="I74"/>
  <c r="H24"/>
  <c r="P24"/>
  <c r="D71"/>
  <c r="C21"/>
  <c r="AD220" i="21"/>
  <c r="AD226"/>
  <c r="AK393"/>
  <c r="S119" i="29"/>
  <c r="Q196"/>
  <c r="R196"/>
  <c r="T196"/>
  <c r="R163"/>
  <c r="T163"/>
  <c r="AL393" i="21"/>
  <c r="P30" i="29"/>
  <c r="P209"/>
  <c r="Q189"/>
  <c r="Q190"/>
  <c r="O37"/>
  <c r="M20" i="30"/>
  <c r="R205" i="29"/>
  <c r="T205"/>
  <c r="S205"/>
  <c r="AD331" i="21"/>
  <c r="AC421"/>
  <c r="AD213"/>
  <c r="AD404"/>
  <c r="Q112" i="29"/>
  <c r="S112"/>
  <c r="AD176" i="21"/>
  <c r="AD183"/>
  <c r="AD296"/>
  <c r="S165" i="29"/>
  <c r="R165"/>
  <c r="T165"/>
  <c r="AD267" i="21"/>
  <c r="R154" i="29"/>
  <c r="T154"/>
  <c r="S154"/>
  <c r="AD230" i="21"/>
  <c r="Q147" i="29"/>
  <c r="S140"/>
  <c r="R140"/>
  <c r="T140"/>
  <c r="S137"/>
  <c r="R137"/>
  <c r="T137"/>
  <c r="S132"/>
  <c r="R132"/>
  <c r="T132"/>
  <c r="AB419" i="21"/>
  <c r="AE27"/>
  <c r="AE396"/>
  <c r="AM27"/>
  <c r="AM396"/>
  <c r="AK417"/>
  <c r="AK424"/>
  <c r="AK395"/>
  <c r="AK415"/>
  <c r="AL417"/>
  <c r="AL424"/>
  <c r="AL395"/>
  <c r="AL415"/>
  <c r="AW20"/>
  <c r="AF402"/>
  <c r="AE12"/>
  <c r="AE18"/>
  <c r="AE393"/>
  <c r="AT14"/>
  <c r="AT18"/>
  <c r="AT393"/>
  <c r="AF20"/>
  <c r="AF27"/>
  <c r="AF396"/>
  <c r="AD413"/>
  <c r="R114" i="29"/>
  <c r="T114"/>
  <c r="S114"/>
  <c r="S202"/>
  <c r="R202"/>
  <c r="T202"/>
  <c r="S131"/>
  <c r="R131"/>
  <c r="T131"/>
  <c r="AC420" i="21"/>
  <c r="AC408"/>
  <c r="AD401"/>
  <c r="AD414"/>
  <c r="AD423"/>
  <c r="AF419"/>
  <c r="AU14"/>
  <c r="AU18"/>
  <c r="AU393"/>
  <c r="K28" i="29"/>
  <c r="P22"/>
  <c r="O211"/>
  <c r="C8" i="20"/>
  <c r="M36" i="30"/>
  <c r="O37"/>
  <c r="O36"/>
  <c r="N36"/>
  <c r="P18" i="23"/>
  <c r="F73" i="17"/>
  <c r="BR60" i="23"/>
  <c r="P37"/>
  <c r="R28" i="27"/>
  <c r="BA53" i="23"/>
  <c r="BI51"/>
  <c r="J51"/>
  <c r="BR12"/>
  <c r="S206" i="29"/>
  <c r="R206"/>
  <c r="Q207"/>
  <c r="P41" i="30"/>
  <c r="Q41"/>
  <c r="BR24" i="23"/>
  <c r="J26" i="27"/>
  <c r="BI65"/>
  <c r="DN9"/>
  <c r="I26"/>
  <c r="I26" i="23"/>
  <c r="F89" i="27"/>
  <c r="BU54"/>
  <c r="BW54"/>
  <c r="BZ54"/>
  <c r="CA54"/>
  <c r="CC54"/>
  <c r="CD54"/>
  <c r="CF54"/>
  <c r="CI54"/>
  <c r="CJ54"/>
  <c r="BA45" i="23"/>
  <c r="DN10" i="27"/>
  <c r="G87"/>
  <c r="O87"/>
  <c r="AI30" i="23"/>
  <c r="AJ30"/>
  <c r="BL60" i="27"/>
  <c r="BN60"/>
  <c r="BQ60"/>
  <c r="BR60"/>
  <c r="BT60"/>
  <c r="F65" i="17"/>
  <c r="F66"/>
  <c r="BQ23" i="23"/>
  <c r="BR23"/>
  <c r="G86" i="27"/>
  <c r="O86"/>
  <c r="BQ45" i="23"/>
  <c r="BR45"/>
  <c r="BQ41"/>
  <c r="BR41"/>
  <c r="Q184" i="29"/>
  <c r="Q186"/>
  <c r="Q175"/>
  <c r="R175"/>
  <c r="T175"/>
  <c r="R135"/>
  <c r="T135"/>
  <c r="AW21" i="21"/>
  <c r="L24" i="29"/>
  <c r="Z18" i="21"/>
  <c r="BT57" i="27"/>
  <c r="BL57"/>
  <c r="BN57"/>
  <c r="BQ57"/>
  <c r="BR57"/>
  <c r="BT56"/>
  <c r="BL56"/>
  <c r="BN56"/>
  <c r="BQ56"/>
  <c r="BR56"/>
  <c r="G88"/>
  <c r="O88"/>
  <c r="BT62"/>
  <c r="BL62"/>
  <c r="BN62"/>
  <c r="BQ62"/>
  <c r="BR62"/>
  <c r="BT59"/>
  <c r="BL59"/>
  <c r="BN59"/>
  <c r="BQ59"/>
  <c r="BR59"/>
  <c r="BT64"/>
  <c r="BL64"/>
  <c r="BN64"/>
  <c r="BQ64"/>
  <c r="BR64"/>
  <c r="S22" i="29"/>
  <c r="R22"/>
  <c r="AD13" i="21"/>
  <c r="R201" i="29"/>
  <c r="S201"/>
  <c r="Q203"/>
  <c r="T173"/>
  <c r="Q179"/>
  <c r="S178"/>
  <c r="S179"/>
  <c r="R178"/>
  <c r="R195"/>
  <c r="T195"/>
  <c r="S195"/>
  <c r="S192"/>
  <c r="R192"/>
  <c r="T182"/>
  <c r="Q167"/>
  <c r="S159"/>
  <c r="R159"/>
  <c r="T159"/>
  <c r="R150"/>
  <c r="S150"/>
  <c r="R155"/>
  <c r="S155"/>
  <c r="Q139"/>
  <c r="T119"/>
  <c r="AD155" i="21"/>
  <c r="AD161"/>
  <c r="AD169"/>
  <c r="T77" i="29"/>
  <c r="R116"/>
  <c r="T116"/>
  <c r="S116"/>
  <c r="P123"/>
  <c r="O125"/>
  <c r="M27" i="30"/>
  <c r="R97" i="29"/>
  <c r="S97"/>
  <c r="Q108"/>
  <c r="AB14" i="21"/>
  <c r="R31" i="29"/>
  <c r="T31"/>
  <c r="S31"/>
  <c r="Q124"/>
  <c r="AI42" i="23"/>
  <c r="AJ42"/>
  <c r="F33"/>
  <c r="G38"/>
  <c r="X33"/>
  <c r="Z25"/>
  <c r="Z9"/>
  <c r="AC13"/>
  <c r="AB10"/>
  <c r="AH13"/>
  <c r="AH10"/>
  <c r="AM14" i="21"/>
  <c r="AM18"/>
  <c r="AN14"/>
  <c r="AN18"/>
  <c r="AN393"/>
  <c r="AO14"/>
  <c r="AO18"/>
  <c r="AO393"/>
  <c r="AP14"/>
  <c r="AP18"/>
  <c r="AP393"/>
  <c r="I75" i="8"/>
  <c r="F48"/>
  <c r="E46"/>
  <c r="F46"/>
  <c r="G44"/>
  <c r="AR37" i="23"/>
  <c r="I37"/>
  <c r="BA50"/>
  <c r="BL20"/>
  <c r="BM20"/>
  <c r="BQ29"/>
  <c r="BR29"/>
  <c r="AQ24"/>
  <c r="H24"/>
  <c r="P24"/>
  <c r="AX24"/>
  <c r="I43"/>
  <c r="BP20"/>
  <c r="BQ52"/>
  <c r="BR52"/>
  <c r="AI39"/>
  <c r="AJ39"/>
  <c r="BQ19"/>
  <c r="BR19"/>
  <c r="BQ49"/>
  <c r="BR49"/>
  <c r="BQ21"/>
  <c r="BR21"/>
  <c r="BQ17"/>
  <c r="BR17"/>
  <c r="AJ59"/>
  <c r="BQ27"/>
  <c r="BR27"/>
  <c r="AX25"/>
  <c r="P27" i="27"/>
  <c r="R27"/>
  <c r="J12" i="23"/>
  <c r="BF7" i="27"/>
  <c r="AW19"/>
  <c r="AX7"/>
  <c r="AJ11" i="23"/>
  <c r="AX10"/>
  <c r="I31"/>
  <c r="Z8"/>
  <c r="H8"/>
  <c r="P8"/>
  <c r="J21"/>
  <c r="C22" i="10"/>
  <c r="I13" i="23"/>
  <c r="H49"/>
  <c r="P49"/>
  <c r="G44"/>
  <c r="C14" i="10"/>
  <c r="R17" i="17"/>
  <c r="J17" i="23"/>
  <c r="BO25"/>
  <c r="I28"/>
  <c r="AI12"/>
  <c r="AJ12"/>
  <c r="I32"/>
  <c r="H34"/>
  <c r="AG34"/>
  <c r="D55" i="17"/>
  <c r="A55"/>
  <c r="BI50" i="23"/>
  <c r="I50"/>
  <c r="F73" i="8"/>
  <c r="AU59" i="23"/>
  <c r="I48"/>
  <c r="CC53" i="27"/>
  <c r="CD53"/>
  <c r="CF53"/>
  <c r="CI53"/>
  <c r="CJ53"/>
  <c r="BU53"/>
  <c r="BW53"/>
  <c r="BZ53"/>
  <c r="CA53"/>
  <c r="F76" i="8"/>
  <c r="AQ25" i="23"/>
  <c r="AR26"/>
  <c r="P40"/>
  <c r="AP10"/>
  <c r="BO40"/>
  <c r="I18"/>
  <c r="BO10"/>
  <c r="D9" i="20"/>
  <c r="AX38" i="23"/>
  <c r="J20"/>
  <c r="D22"/>
  <c r="D9"/>
  <c r="BC9"/>
  <c r="BC5"/>
  <c r="BC4"/>
  <c r="I42"/>
  <c r="R16" i="17"/>
  <c r="V16"/>
  <c r="V15"/>
  <c r="AH26" i="23"/>
  <c r="AS34"/>
  <c r="C18" i="10"/>
  <c r="K18" i="17"/>
  <c r="L17"/>
  <c r="L18"/>
  <c r="AQ36" i="23"/>
  <c r="H36"/>
  <c r="P36"/>
  <c r="I14"/>
  <c r="I19"/>
  <c r="J59"/>
  <c r="AI18"/>
  <c r="AJ18"/>
  <c r="Y55"/>
  <c r="H58"/>
  <c r="AG58"/>
  <c r="K54"/>
  <c r="Q54"/>
  <c r="AY54"/>
  <c r="H53"/>
  <c r="P53"/>
  <c r="AG53"/>
  <c r="H60"/>
  <c r="P60"/>
  <c r="Z60"/>
  <c r="AG60"/>
  <c r="BH10"/>
  <c r="BI11"/>
  <c r="AI50"/>
  <c r="AJ50"/>
  <c r="AI20"/>
  <c r="AJ20"/>
  <c r="H85" i="27"/>
  <c r="AZ52" i="23"/>
  <c r="BA52"/>
  <c r="AX36"/>
  <c r="AJ40"/>
  <c r="I131" i="8"/>
  <c r="I129"/>
  <c r="F57"/>
  <c r="F105"/>
  <c r="AG25" i="23"/>
  <c r="AG9"/>
  <c r="G52" i="17"/>
  <c r="G56"/>
  <c r="P55" i="20"/>
  <c r="O85" i="27"/>
  <c r="C67" i="20"/>
  <c r="C98"/>
  <c r="R19" i="17"/>
  <c r="S17" i="20"/>
  <c r="I35" i="23"/>
  <c r="I11"/>
  <c r="H25"/>
  <c r="P26"/>
  <c r="H41"/>
  <c r="P41"/>
  <c r="Y38"/>
  <c r="AG41"/>
  <c r="AS56"/>
  <c r="AR55"/>
  <c r="J56"/>
  <c r="I132" i="8"/>
  <c r="E39"/>
  <c r="AQ23" i="23"/>
  <c r="H23"/>
  <c r="P23"/>
  <c r="F81" i="17"/>
  <c r="AX23" i="23"/>
  <c r="R59" i="20"/>
  <c r="S15"/>
  <c r="AI17" i="23"/>
  <c r="AJ17"/>
  <c r="D67" i="20"/>
  <c r="D98"/>
  <c r="C29" i="27"/>
  <c r="BM55" i="23"/>
  <c r="BQ57"/>
  <c r="F132" i="8"/>
  <c r="E132"/>
  <c r="AR30" i="23"/>
  <c r="I30"/>
  <c r="AQ7" i="27"/>
  <c r="AO19"/>
  <c r="H15" i="23"/>
  <c r="P15"/>
  <c r="F72" i="17"/>
  <c r="AS57" i="23"/>
  <c r="J57"/>
  <c r="AP38"/>
  <c r="AP33"/>
  <c r="H39"/>
  <c r="D15" i="17"/>
  <c r="D21"/>
  <c r="I15"/>
  <c r="A11" i="20"/>
  <c r="I47" i="23"/>
  <c r="K14" i="17"/>
  <c r="L13"/>
  <c r="L14"/>
  <c r="O55" i="20"/>
  <c r="I29" i="23"/>
  <c r="D25" i="27"/>
  <c r="N25"/>
  <c r="AH19"/>
  <c r="J16" i="23"/>
  <c r="I93" i="8"/>
  <c r="H67"/>
  <c r="H45" i="23"/>
  <c r="P45"/>
  <c r="AG45"/>
  <c r="BH25"/>
  <c r="BI26"/>
  <c r="BJ46"/>
  <c r="J46"/>
  <c r="BH40"/>
  <c r="BG38"/>
  <c r="BG33"/>
  <c r="E102" i="8"/>
  <c r="BL36" i="23"/>
  <c r="L11" i="17"/>
  <c r="L12"/>
  <c r="K12"/>
  <c r="AE24" i="23"/>
  <c r="H52"/>
  <c r="P52"/>
  <c r="AG52"/>
  <c r="J27"/>
  <c r="H60" i="8"/>
  <c r="E101" i="17"/>
  <c r="I71" i="8"/>
  <c r="D21" i="10"/>
  <c r="I74" i="8"/>
  <c r="M3" i="24"/>
  <c r="BL22" i="23"/>
  <c r="U11" i="24"/>
  <c r="J40" i="32"/>
  <c r="J45"/>
  <c r="J46"/>
  <c r="M45"/>
  <c r="M46"/>
  <c r="K40"/>
  <c r="N6" i="24"/>
  <c r="N3"/>
  <c r="L45" i="32"/>
  <c r="L46"/>
  <c r="T6" i="24"/>
  <c r="N8"/>
  <c r="L13"/>
  <c r="L8"/>
  <c r="R9"/>
  <c r="M14"/>
  <c r="M13"/>
  <c r="K8"/>
  <c r="K14"/>
  <c r="Q9"/>
  <c r="N14"/>
  <c r="R4"/>
  <c r="S4"/>
  <c r="U22" i="33"/>
  <c r="U23"/>
  <c r="AD17"/>
  <c r="AE17"/>
  <c r="AC22"/>
  <c r="AC23"/>
  <c r="AD16"/>
  <c r="AE16"/>
  <c r="AE21"/>
  <c r="AC18"/>
  <c r="Z22"/>
  <c r="Z23"/>
  <c r="U18"/>
  <c r="Z18"/>
  <c r="Y18"/>
  <c r="P37" i="29"/>
  <c r="S207"/>
  <c r="R112"/>
  <c r="T112"/>
  <c r="T120"/>
  <c r="Q145"/>
  <c r="S145"/>
  <c r="E100" i="20"/>
  <c r="O100"/>
  <c r="O83"/>
  <c r="G81"/>
  <c r="F83"/>
  <c r="S196" i="29"/>
  <c r="S197"/>
  <c r="S189"/>
  <c r="S190"/>
  <c r="AM393" i="21"/>
  <c r="R189" i="29"/>
  <c r="R190"/>
  <c r="Q197"/>
  <c r="P39" i="30"/>
  <c r="Q39"/>
  <c r="W17" i="17"/>
  <c r="X19"/>
  <c r="G73" i="20"/>
  <c r="F23"/>
  <c r="E71"/>
  <c r="O71"/>
  <c r="D21"/>
  <c r="G72"/>
  <c r="F22"/>
  <c r="J74"/>
  <c r="I24"/>
  <c r="Q120" i="29"/>
  <c r="P26" i="30"/>
  <c r="Q26"/>
  <c r="AC20" i="21"/>
  <c r="AC27"/>
  <c r="AC396"/>
  <c r="Q129" i="29"/>
  <c r="S129"/>
  <c r="S133"/>
  <c r="AD304" i="21"/>
  <c r="AD407"/>
  <c r="Q157" i="29"/>
  <c r="R157"/>
  <c r="AD274" i="21"/>
  <c r="AD406"/>
  <c r="R147" i="29"/>
  <c r="T147"/>
  <c r="S147"/>
  <c r="AD231" i="21"/>
  <c r="AD405"/>
  <c r="AD191"/>
  <c r="AD403"/>
  <c r="AW27"/>
  <c r="AW396"/>
  <c r="AN395"/>
  <c r="AN415"/>
  <c r="AN417"/>
  <c r="AN424"/>
  <c r="AO417"/>
  <c r="AO424"/>
  <c r="AO395"/>
  <c r="AO415"/>
  <c r="AU395"/>
  <c r="AU415"/>
  <c r="AU417"/>
  <c r="AU424"/>
  <c r="AP417"/>
  <c r="AP424"/>
  <c r="AP395"/>
  <c r="AP415"/>
  <c r="AT417"/>
  <c r="AT424"/>
  <c r="AT395"/>
  <c r="AT415"/>
  <c r="AM395"/>
  <c r="AM415"/>
  <c r="AM417"/>
  <c r="AM424"/>
  <c r="AB18"/>
  <c r="AB417"/>
  <c r="AF12"/>
  <c r="AW428"/>
  <c r="T70" i="20"/>
  <c r="U70"/>
  <c r="C70"/>
  <c r="S203" i="29"/>
  <c r="S120"/>
  <c r="AE417" i="21"/>
  <c r="AE424"/>
  <c r="AE395"/>
  <c r="AE415"/>
  <c r="AD421"/>
  <c r="AD410"/>
  <c r="AC402"/>
  <c r="AC419"/>
  <c r="AD420"/>
  <c r="AD408"/>
  <c r="P211" i="29"/>
  <c r="L28"/>
  <c r="N27" i="30"/>
  <c r="M25"/>
  <c r="P26" i="27"/>
  <c r="R26"/>
  <c r="Z393" i="21"/>
  <c r="BJ51" i="23"/>
  <c r="K51"/>
  <c r="Q51"/>
  <c r="G85" i="17"/>
  <c r="DN54" i="27"/>
  <c r="T206" i="29"/>
  <c r="T207"/>
  <c r="R207"/>
  <c r="G89" i="27"/>
  <c r="O89"/>
  <c r="T150" i="29"/>
  <c r="BR65" i="27"/>
  <c r="I67" i="8"/>
  <c r="I62"/>
  <c r="D19" i="10"/>
  <c r="H10" i="23"/>
  <c r="CC60" i="27"/>
  <c r="CD60"/>
  <c r="CF60"/>
  <c r="CI60"/>
  <c r="CJ60"/>
  <c r="BU60"/>
  <c r="BW60"/>
  <c r="BZ60"/>
  <c r="CA60"/>
  <c r="Y33" i="23"/>
  <c r="DN53" i="27"/>
  <c r="BQ20" i="23"/>
  <c r="BR20"/>
  <c r="AI54"/>
  <c r="AJ54"/>
  <c r="Q176" i="29"/>
  <c r="P34" i="30"/>
  <c r="S184" i="29"/>
  <c r="S186"/>
  <c r="R184"/>
  <c r="S175"/>
  <c r="S176"/>
  <c r="Q23"/>
  <c r="O24"/>
  <c r="CC62" i="27"/>
  <c r="CD62"/>
  <c r="CF62"/>
  <c r="CI62"/>
  <c r="CJ62"/>
  <c r="BU62"/>
  <c r="BW62"/>
  <c r="BZ62"/>
  <c r="CA62"/>
  <c r="BU57"/>
  <c r="BW57"/>
  <c r="BZ57"/>
  <c r="CA57"/>
  <c r="CC57"/>
  <c r="CD57"/>
  <c r="CF57"/>
  <c r="CI57"/>
  <c r="CJ57"/>
  <c r="H88"/>
  <c r="CC59"/>
  <c r="CD59"/>
  <c r="CF59"/>
  <c r="CI59"/>
  <c r="CJ59"/>
  <c r="BU59"/>
  <c r="BW59"/>
  <c r="BZ59"/>
  <c r="CA59"/>
  <c r="H87"/>
  <c r="BU64"/>
  <c r="BW64"/>
  <c r="BZ64"/>
  <c r="CA64"/>
  <c r="CC64"/>
  <c r="CD64"/>
  <c r="CF64"/>
  <c r="CI64"/>
  <c r="CJ64"/>
  <c r="CC56"/>
  <c r="CD56"/>
  <c r="CF56"/>
  <c r="CI56"/>
  <c r="CJ56"/>
  <c r="BU56"/>
  <c r="BW56"/>
  <c r="BZ56"/>
  <c r="CA56"/>
  <c r="H86"/>
  <c r="T22" i="29"/>
  <c r="P38" i="30"/>
  <c r="Q38"/>
  <c r="Y203" i="29"/>
  <c r="P40" i="30"/>
  <c r="Q40"/>
  <c r="P37"/>
  <c r="P35"/>
  <c r="Q35"/>
  <c r="T201" i="29"/>
  <c r="T203"/>
  <c r="R203"/>
  <c r="T176"/>
  <c r="R176"/>
  <c r="R179"/>
  <c r="T178"/>
  <c r="T179"/>
  <c r="T192"/>
  <c r="T197"/>
  <c r="R197"/>
  <c r="R167"/>
  <c r="S167"/>
  <c r="S169"/>
  <c r="Q169"/>
  <c r="T155"/>
  <c r="R139"/>
  <c r="S139"/>
  <c r="S141"/>
  <c r="Q141"/>
  <c r="AF14" i="21"/>
  <c r="Q123" i="29"/>
  <c r="P125"/>
  <c r="S124"/>
  <c r="R124"/>
  <c r="T97"/>
  <c r="R108"/>
  <c r="S108"/>
  <c r="G33" i="23"/>
  <c r="H38"/>
  <c r="AD13"/>
  <c r="AC10"/>
  <c r="AW14" i="21"/>
  <c r="AW18"/>
  <c r="D18" i="20"/>
  <c r="H62" i="8"/>
  <c r="C19" i="10"/>
  <c r="E44" i="8"/>
  <c r="AS37" i="23"/>
  <c r="AY37"/>
  <c r="J37"/>
  <c r="J43"/>
  <c r="AR24"/>
  <c r="I24"/>
  <c r="J65" i="8"/>
  <c r="G64" i="17"/>
  <c r="D10" i="20"/>
  <c r="I58" i="8"/>
  <c r="BK46" i="23"/>
  <c r="K46"/>
  <c r="Q46"/>
  <c r="AO9"/>
  <c r="AO5"/>
  <c r="AO4"/>
  <c r="K16"/>
  <c r="Q16"/>
  <c r="AT57"/>
  <c r="K57"/>
  <c r="Q57"/>
  <c r="G94" i="17"/>
  <c r="AY57" i="23"/>
  <c r="AR23"/>
  <c r="I23"/>
  <c r="I52"/>
  <c r="J132" i="8"/>
  <c r="BM36" i="23"/>
  <c r="BQ36"/>
  <c r="BI40"/>
  <c r="J40"/>
  <c r="BH38"/>
  <c r="BH33"/>
  <c r="O22" i="20"/>
  <c r="I45" i="23"/>
  <c r="I91" i="8"/>
  <c r="AH29" i="23"/>
  <c r="J29"/>
  <c r="K129" i="8"/>
  <c r="G129"/>
  <c r="AY47" i="23"/>
  <c r="J47"/>
  <c r="J15" i="17"/>
  <c r="I16"/>
  <c r="AQ38" i="23"/>
  <c r="AQ33"/>
  <c r="I39"/>
  <c r="AR10"/>
  <c r="I15"/>
  <c r="I10"/>
  <c r="AS30"/>
  <c r="AY30"/>
  <c r="J30"/>
  <c r="AT56"/>
  <c r="K56"/>
  <c r="Q56"/>
  <c r="G93" i="17"/>
  <c r="AS55" i="23"/>
  <c r="I41"/>
  <c r="Z38"/>
  <c r="J11"/>
  <c r="AI21"/>
  <c r="AJ21"/>
  <c r="BI10"/>
  <c r="BJ11"/>
  <c r="BP11"/>
  <c r="L54"/>
  <c r="Z55"/>
  <c r="I58"/>
  <c r="BP59"/>
  <c r="K59"/>
  <c r="Q59"/>
  <c r="AT34"/>
  <c r="AY34"/>
  <c r="K20"/>
  <c r="Q20"/>
  <c r="AY40"/>
  <c r="AV59"/>
  <c r="AZ59"/>
  <c r="BA59"/>
  <c r="BJ50"/>
  <c r="BP50"/>
  <c r="J50"/>
  <c r="K17"/>
  <c r="Q17"/>
  <c r="AY17"/>
  <c r="I59" i="8"/>
  <c r="K27" i="23"/>
  <c r="Q27"/>
  <c r="AH27"/>
  <c r="AI24"/>
  <c r="AJ24"/>
  <c r="P25"/>
  <c r="D17" i="10"/>
  <c r="J35" i="23"/>
  <c r="AX33"/>
  <c r="AA60"/>
  <c r="I60"/>
  <c r="J19"/>
  <c r="J131" i="8"/>
  <c r="BO38" i="23"/>
  <c r="BO33"/>
  <c r="D6" i="20"/>
  <c r="J28" i="23"/>
  <c r="I8"/>
  <c r="AA8"/>
  <c r="BO7" i="27"/>
  <c r="BG7"/>
  <c r="BF19"/>
  <c r="AQ10" i="23"/>
  <c r="O59" i="20"/>
  <c r="AA25" i="23"/>
  <c r="AA9"/>
  <c r="E66" i="17"/>
  <c r="I40" i="23"/>
  <c r="P10"/>
  <c r="O72" i="20"/>
  <c r="BP46" i="23"/>
  <c r="AH36"/>
  <c r="P58"/>
  <c r="H55"/>
  <c r="AY14"/>
  <c r="J14"/>
  <c r="K131" i="8"/>
  <c r="G131"/>
  <c r="J85" i="27"/>
  <c r="J48" i="23"/>
  <c r="I34"/>
  <c r="AH32"/>
  <c r="J32"/>
  <c r="R18" i="17"/>
  <c r="I49" i="23"/>
  <c r="AY13"/>
  <c r="J13"/>
  <c r="J31"/>
  <c r="AY16"/>
  <c r="AY20"/>
  <c r="K132" i="8"/>
  <c r="BI25" i="23"/>
  <c r="BJ26"/>
  <c r="AW22"/>
  <c r="AM9"/>
  <c r="AM5"/>
  <c r="AM4"/>
  <c r="O63" i="20"/>
  <c r="D29" i="27"/>
  <c r="N29"/>
  <c r="J129" i="8"/>
  <c r="E25" i="27"/>
  <c r="AQ19"/>
  <c r="BQ55" i="23"/>
  <c r="BR57"/>
  <c r="BR55"/>
  <c r="F39" i="8"/>
  <c r="AG38" i="23"/>
  <c r="R20" i="17"/>
  <c r="V19"/>
  <c r="V20"/>
  <c r="F102" i="8"/>
  <c r="I53" i="23"/>
  <c r="AG55"/>
  <c r="AR36"/>
  <c r="I36"/>
  <c r="J42"/>
  <c r="E9" i="20"/>
  <c r="J18" i="23"/>
  <c r="AS26"/>
  <c r="AR25"/>
  <c r="I85" i="27"/>
  <c r="P34" i="23"/>
  <c r="F75" i="17"/>
  <c r="AP9" i="23"/>
  <c r="AP5"/>
  <c r="AP4"/>
  <c r="H44"/>
  <c r="P44"/>
  <c r="AG44"/>
  <c r="K21"/>
  <c r="Q21"/>
  <c r="AY21"/>
  <c r="AZ7" i="27"/>
  <c r="AX19"/>
  <c r="K12" i="23"/>
  <c r="Q12"/>
  <c r="AY12"/>
  <c r="Q16" i="20"/>
  <c r="Q65"/>
  <c r="S65"/>
  <c r="P39" i="23"/>
  <c r="I25"/>
  <c r="J26"/>
  <c r="AY56"/>
  <c r="C16" i="10"/>
  <c r="J94" i="8"/>
  <c r="S9" i="24"/>
  <c r="BB9" i="23"/>
  <c r="BB5"/>
  <c r="BB4"/>
  <c r="BM22"/>
  <c r="R8" i="24"/>
  <c r="AT22" i="23"/>
  <c r="AK9"/>
  <c r="AK5"/>
  <c r="AK4"/>
  <c r="AV22"/>
  <c r="Q8" i="24"/>
  <c r="AS22" i="23"/>
  <c r="N16" i="24"/>
  <c r="R16"/>
  <c r="R6"/>
  <c r="S6"/>
  <c r="U6"/>
  <c r="C22" i="23"/>
  <c r="C9"/>
  <c r="R3" i="24"/>
  <c r="G24" i="4"/>
  <c r="T3" i="24"/>
  <c r="T4"/>
  <c r="U4"/>
  <c r="R14"/>
  <c r="T9"/>
  <c r="U9"/>
  <c r="T8"/>
  <c r="K13"/>
  <c r="Q13"/>
  <c r="Q14"/>
  <c r="AD22" i="33"/>
  <c r="AD23"/>
  <c r="AD18"/>
  <c r="R120" i="29"/>
  <c r="R145"/>
  <c r="T145"/>
  <c r="T148"/>
  <c r="Q148"/>
  <c r="P30" i="30"/>
  <c r="Q30"/>
  <c r="AD20" i="21"/>
  <c r="AD27"/>
  <c r="AD396"/>
  <c r="T189" i="29"/>
  <c r="T190"/>
  <c r="H81" i="20"/>
  <c r="G83"/>
  <c r="G100"/>
  <c r="F100"/>
  <c r="AW393" i="21"/>
  <c r="R129" i="29"/>
  <c r="R133"/>
  <c r="D70" i="20"/>
  <c r="C20"/>
  <c r="K74"/>
  <c r="J24"/>
  <c r="H73"/>
  <c r="P73"/>
  <c r="G23"/>
  <c r="W18" i="17"/>
  <c r="H72" i="20"/>
  <c r="G22"/>
  <c r="X20" i="17"/>
  <c r="Q74" i="20"/>
  <c r="F71"/>
  <c r="E21"/>
  <c r="O21"/>
  <c r="W13" i="17"/>
  <c r="Q212" i="29"/>
  <c r="Q133"/>
  <c r="P28" i="30"/>
  <c r="Q28"/>
  <c r="S148" i="29"/>
  <c r="Q161"/>
  <c r="P31" i="30"/>
  <c r="Q31"/>
  <c r="T157" i="29"/>
  <c r="T161"/>
  <c r="R161"/>
  <c r="S157"/>
  <c r="S161"/>
  <c r="AW395" i="21"/>
  <c r="AW415"/>
  <c r="AW417"/>
  <c r="AW424"/>
  <c r="AB395"/>
  <c r="AF18"/>
  <c r="AW425"/>
  <c r="Q30" i="29"/>
  <c r="Q209"/>
  <c r="AD402" i="21"/>
  <c r="AD419"/>
  <c r="Q34" i="30"/>
  <c r="Q33"/>
  <c r="P33"/>
  <c r="Q211" i="29"/>
  <c r="R212"/>
  <c r="O208"/>
  <c r="Q37" i="30"/>
  <c r="Q36"/>
  <c r="P36"/>
  <c r="O27"/>
  <c r="N25"/>
  <c r="BP51" i="23"/>
  <c r="BK51"/>
  <c r="L51"/>
  <c r="T184" i="29"/>
  <c r="T186"/>
  <c r="R186"/>
  <c r="J87" i="27"/>
  <c r="H89"/>
  <c r="I87"/>
  <c r="CJ65"/>
  <c r="AB25" i="23"/>
  <c r="AB9"/>
  <c r="DN57" i="27"/>
  <c r="DN60"/>
  <c r="P85"/>
  <c r="R85"/>
  <c r="H33" i="23"/>
  <c r="I88" i="27"/>
  <c r="DN64"/>
  <c r="AC14" i="21"/>
  <c r="AC18"/>
  <c r="R23" i="29"/>
  <c r="S23"/>
  <c r="P24"/>
  <c r="P208"/>
  <c r="O28"/>
  <c r="M19" i="30"/>
  <c r="M18"/>
  <c r="I86" i="27"/>
  <c r="DN56"/>
  <c r="J88"/>
  <c r="DN59"/>
  <c r="CA65"/>
  <c r="J86"/>
  <c r="DN62"/>
  <c r="P29" i="30"/>
  <c r="Q29"/>
  <c r="P32"/>
  <c r="Q32"/>
  <c r="T167" i="29"/>
  <c r="T169"/>
  <c r="R169"/>
  <c r="T139"/>
  <c r="T141"/>
  <c r="R141"/>
  <c r="R123"/>
  <c r="S123"/>
  <c r="Q125"/>
  <c r="P27" i="30"/>
  <c r="T124" i="29"/>
  <c r="T108"/>
  <c r="AE13" i="23"/>
  <c r="AD10"/>
  <c r="R31" i="20"/>
  <c r="AE19" i="17"/>
  <c r="F44" i="8"/>
  <c r="K43" i="23"/>
  <c r="Q43"/>
  <c r="AT37"/>
  <c r="K37"/>
  <c r="Q37"/>
  <c r="AS24"/>
  <c r="J24"/>
  <c r="AG33"/>
  <c r="AH43"/>
  <c r="W15" i="17"/>
  <c r="J25" i="23"/>
  <c r="P38"/>
  <c r="P33"/>
  <c r="F74" i="17"/>
  <c r="AZ19" i="27"/>
  <c r="F25"/>
  <c r="F9" i="20"/>
  <c r="O9"/>
  <c r="J53" i="23"/>
  <c r="K13"/>
  <c r="Q13"/>
  <c r="BI7" i="27"/>
  <c r="BG19"/>
  <c r="AB60" i="23"/>
  <c r="J60"/>
  <c r="P59" i="20"/>
  <c r="AI37" i="23"/>
  <c r="AJ37"/>
  <c r="L27"/>
  <c r="D15" i="10"/>
  <c r="AR9" i="23"/>
  <c r="L59"/>
  <c r="J58"/>
  <c r="J55"/>
  <c r="AA55"/>
  <c r="BK11"/>
  <c r="BJ10"/>
  <c r="K15" i="17"/>
  <c r="J16"/>
  <c r="K29" i="23"/>
  <c r="Q29"/>
  <c r="AH45"/>
  <c r="J45"/>
  <c r="AS23"/>
  <c r="J23"/>
  <c r="L16"/>
  <c r="BL46"/>
  <c r="L46"/>
  <c r="E10" i="20"/>
  <c r="O10"/>
  <c r="AH31" i="23"/>
  <c r="AY55"/>
  <c r="I44"/>
  <c r="T17" i="17"/>
  <c r="S16" i="20"/>
  <c r="AS25" i="23"/>
  <c r="AT26"/>
  <c r="AY26"/>
  <c r="E29" i="27"/>
  <c r="AW9" i="23"/>
  <c r="AW5"/>
  <c r="AW4"/>
  <c r="J49"/>
  <c r="J34"/>
  <c r="K48"/>
  <c r="Q48"/>
  <c r="AH48"/>
  <c r="E131" i="8"/>
  <c r="F131"/>
  <c r="K14" i="23"/>
  <c r="Q14"/>
  <c r="AX22"/>
  <c r="AX9"/>
  <c r="AX5"/>
  <c r="AX4"/>
  <c r="AN9"/>
  <c r="AN5"/>
  <c r="AN4"/>
  <c r="J8"/>
  <c r="AB8"/>
  <c r="AH8"/>
  <c r="K19"/>
  <c r="Q19"/>
  <c r="AY19"/>
  <c r="L17"/>
  <c r="AU34"/>
  <c r="N54"/>
  <c r="M54"/>
  <c r="AT30"/>
  <c r="K30"/>
  <c r="Q30"/>
  <c r="I38"/>
  <c r="H130" i="8"/>
  <c r="I21" i="17"/>
  <c r="F129" i="8"/>
  <c r="E129"/>
  <c r="J52" i="23"/>
  <c r="L12"/>
  <c r="L21"/>
  <c r="I61" i="8"/>
  <c r="K42" i="23"/>
  <c r="Q42"/>
  <c r="AY42"/>
  <c r="AS36"/>
  <c r="J36"/>
  <c r="K32"/>
  <c r="Q32"/>
  <c r="BR36"/>
  <c r="K28"/>
  <c r="Q28"/>
  <c r="AH28"/>
  <c r="E6" i="20"/>
  <c r="K11" i="23"/>
  <c r="AY11"/>
  <c r="J41"/>
  <c r="AA38"/>
  <c r="AS10"/>
  <c r="J15"/>
  <c r="J10"/>
  <c r="J39"/>
  <c r="AR38"/>
  <c r="AR33"/>
  <c r="K47"/>
  <c r="Q47"/>
  <c r="I72" i="8"/>
  <c r="AU57" i="23"/>
  <c r="L57"/>
  <c r="D14" i="10"/>
  <c r="Z33" i="23"/>
  <c r="K18"/>
  <c r="Q18"/>
  <c r="AY18"/>
  <c r="E67" i="20"/>
  <c r="E98"/>
  <c r="O98"/>
  <c r="BJ25" i="23"/>
  <c r="BK26"/>
  <c r="BP26"/>
  <c r="K31"/>
  <c r="Q31"/>
  <c r="P55"/>
  <c r="BP10"/>
  <c r="BP7" i="27"/>
  <c r="BX7"/>
  <c r="BO19"/>
  <c r="K35" i="23"/>
  <c r="Q35"/>
  <c r="AH35"/>
  <c r="BK50"/>
  <c r="K50"/>
  <c r="Q50"/>
  <c r="L20"/>
  <c r="I55"/>
  <c r="L56"/>
  <c r="AT55"/>
  <c r="AU56"/>
  <c r="BJ40"/>
  <c r="K40"/>
  <c r="Q40"/>
  <c r="BI38"/>
  <c r="BI33"/>
  <c r="K26"/>
  <c r="I60" i="8"/>
  <c r="D16" i="10"/>
  <c r="F101" i="17"/>
  <c r="J75" i="8"/>
  <c r="S8" i="24"/>
  <c r="U8"/>
  <c r="S19"/>
  <c r="S16"/>
  <c r="H77" i="17"/>
  <c r="H65"/>
  <c r="S3" i="24"/>
  <c r="U3"/>
  <c r="T13"/>
  <c r="N13"/>
  <c r="R13"/>
  <c r="S13"/>
  <c r="S14"/>
  <c r="U14"/>
  <c r="AE22" i="33"/>
  <c r="AE23"/>
  <c r="AE18"/>
  <c r="R148" i="29"/>
  <c r="T129"/>
  <c r="T133"/>
  <c r="I81" i="20"/>
  <c r="H83"/>
  <c r="P81"/>
  <c r="E70"/>
  <c r="D20"/>
  <c r="G71"/>
  <c r="F21"/>
  <c r="I72"/>
  <c r="H22"/>
  <c r="I73"/>
  <c r="H23"/>
  <c r="P23"/>
  <c r="L74"/>
  <c r="K24"/>
  <c r="Q24"/>
  <c r="AW433" i="21"/>
  <c r="T25" i="20"/>
  <c r="V33"/>
  <c r="T69"/>
  <c r="Q37" i="29"/>
  <c r="P20" i="30"/>
  <c r="S212" i="29"/>
  <c r="C30" i="20"/>
  <c r="D30"/>
  <c r="E30"/>
  <c r="F30"/>
  <c r="G30"/>
  <c r="H30"/>
  <c r="I30"/>
  <c r="J30"/>
  <c r="K30"/>
  <c r="L30"/>
  <c r="M30"/>
  <c r="N30"/>
  <c r="T212" i="29"/>
  <c r="AD14" i="21"/>
  <c r="AD18"/>
  <c r="AF395"/>
  <c r="AF417"/>
  <c r="C5" i="20"/>
  <c r="S211" i="29"/>
  <c r="C29" i="20"/>
  <c r="D29"/>
  <c r="E29"/>
  <c r="F29"/>
  <c r="G29"/>
  <c r="H29"/>
  <c r="I29"/>
  <c r="J29"/>
  <c r="K29"/>
  <c r="L29"/>
  <c r="M29"/>
  <c r="N29"/>
  <c r="R211" i="29"/>
  <c r="Q27" i="30"/>
  <c r="Q25"/>
  <c r="P25"/>
  <c r="BL51" i="23"/>
  <c r="M51"/>
  <c r="AA33"/>
  <c r="P87" i="27"/>
  <c r="R87"/>
  <c r="I89"/>
  <c r="J89"/>
  <c r="I33" i="23"/>
  <c r="R54"/>
  <c r="S54"/>
  <c r="AH25"/>
  <c r="AH9"/>
  <c r="P88" i="27"/>
  <c r="R88"/>
  <c r="K25" i="23"/>
  <c r="AZ54"/>
  <c r="BA54"/>
  <c r="P86" i="27"/>
  <c r="R86"/>
  <c r="DN65"/>
  <c r="DP65"/>
  <c r="Q24" i="29"/>
  <c r="Q208"/>
  <c r="T23"/>
  <c r="P28"/>
  <c r="N19" i="30"/>
  <c r="S125" i="29"/>
  <c r="R30"/>
  <c r="S30"/>
  <c r="S209"/>
  <c r="C27" i="20"/>
  <c r="T123" i="29"/>
  <c r="R125"/>
  <c r="J38" i="23"/>
  <c r="AE10"/>
  <c r="AI13"/>
  <c r="AE20" i="17"/>
  <c r="L26" i="23"/>
  <c r="AT24"/>
  <c r="K24"/>
  <c r="Q24"/>
  <c r="AY24"/>
  <c r="L43"/>
  <c r="AU37"/>
  <c r="L37"/>
  <c r="G73" i="17"/>
  <c r="M20" i="23"/>
  <c r="BL50"/>
  <c r="L50"/>
  <c r="L35"/>
  <c r="L31"/>
  <c r="L18"/>
  <c r="L47"/>
  <c r="L11"/>
  <c r="L32"/>
  <c r="L42"/>
  <c r="M21"/>
  <c r="K52"/>
  <c r="Q52"/>
  <c r="H127" i="8"/>
  <c r="AU30" i="23"/>
  <c r="L30"/>
  <c r="M16"/>
  <c r="K45"/>
  <c r="Q45"/>
  <c r="L15" i="17"/>
  <c r="L16"/>
  <c r="K16"/>
  <c r="K58" i="23"/>
  <c r="AB55"/>
  <c r="AH58"/>
  <c r="AC60"/>
  <c r="K60"/>
  <c r="Q60"/>
  <c r="AH60"/>
  <c r="AI26"/>
  <c r="L13"/>
  <c r="BK40"/>
  <c r="L40"/>
  <c r="BJ38"/>
  <c r="BJ33"/>
  <c r="J93" i="8"/>
  <c r="BR7" i="27"/>
  <c r="BP19"/>
  <c r="BK25" i="23"/>
  <c r="BL26"/>
  <c r="D22" i="10"/>
  <c r="K39" i="23"/>
  <c r="Q39"/>
  <c r="AS38"/>
  <c r="AS33"/>
  <c r="AY39"/>
  <c r="K41"/>
  <c r="Q41"/>
  <c r="AB38"/>
  <c r="AH41"/>
  <c r="L28"/>
  <c r="D18" i="10"/>
  <c r="N17" i="23"/>
  <c r="M17"/>
  <c r="D8" i="20"/>
  <c r="L19" i="23"/>
  <c r="BF9"/>
  <c r="BF5"/>
  <c r="BF4"/>
  <c r="G22"/>
  <c r="G9"/>
  <c r="K34"/>
  <c r="T18" i="17"/>
  <c r="V18"/>
  <c r="V17"/>
  <c r="I130" i="8"/>
  <c r="J21" i="17"/>
  <c r="M59" i="23"/>
  <c r="N27"/>
  <c r="M27"/>
  <c r="M17" i="17"/>
  <c r="W14"/>
  <c r="AR5" i="23"/>
  <c r="AR4"/>
  <c r="AV56"/>
  <c r="M56"/>
  <c r="AU55"/>
  <c r="BX19" i="27"/>
  <c r="BY7"/>
  <c r="CG7"/>
  <c r="BP25" i="23"/>
  <c r="O67" i="20"/>
  <c r="AV57" i="23"/>
  <c r="N57"/>
  <c r="M57"/>
  <c r="Q11"/>
  <c r="BD9"/>
  <c r="BD5"/>
  <c r="BD4"/>
  <c r="BN22"/>
  <c r="E22"/>
  <c r="AV34"/>
  <c r="K8"/>
  <c r="Q8"/>
  <c r="AC8"/>
  <c r="K49"/>
  <c r="Q49"/>
  <c r="AY49"/>
  <c r="F67" i="20"/>
  <c r="F98"/>
  <c r="AU26" i="23"/>
  <c r="AT25"/>
  <c r="AT23"/>
  <c r="K23"/>
  <c r="Q23"/>
  <c r="G81" i="17"/>
  <c r="AY23" i="23"/>
  <c r="L29"/>
  <c r="BL11"/>
  <c r="BK10"/>
  <c r="BI19" i="27"/>
  <c r="G25"/>
  <c r="K53" i="23"/>
  <c r="Q53"/>
  <c r="AH53"/>
  <c r="G9" i="20"/>
  <c r="W16" i="17"/>
  <c r="AC25" i="23"/>
  <c r="AC9"/>
  <c r="Q55" i="20"/>
  <c r="S55"/>
  <c r="BP40" i="23"/>
  <c r="M19" i="17"/>
  <c r="E18" i="20"/>
  <c r="O14"/>
  <c r="AT10" i="23"/>
  <c r="K15"/>
  <c r="Q15"/>
  <c r="AY15"/>
  <c r="AY10"/>
  <c r="F6" i="20"/>
  <c r="O6"/>
  <c r="AT36" i="23"/>
  <c r="AY36"/>
  <c r="K36"/>
  <c r="Q36"/>
  <c r="G65" i="17"/>
  <c r="D65"/>
  <c r="J67" i="8"/>
  <c r="D77" i="17"/>
  <c r="N12" i="23"/>
  <c r="M12"/>
  <c r="L14"/>
  <c r="L48"/>
  <c r="AY25"/>
  <c r="H49" i="17"/>
  <c r="D48"/>
  <c r="J44" i="23"/>
  <c r="AH44"/>
  <c r="BM46"/>
  <c r="M46"/>
  <c r="F29" i="27"/>
  <c r="Q26" i="23"/>
  <c r="AH34"/>
  <c r="AH52"/>
  <c r="J71" i="8"/>
  <c r="E21" i="10"/>
  <c r="U16" i="24"/>
  <c r="B77" i="17"/>
  <c r="A77"/>
  <c r="J74" i="8"/>
  <c r="U13" i="24"/>
  <c r="O30" i="20"/>
  <c r="AB17" i="17"/>
  <c r="AG17"/>
  <c r="J81" i="20"/>
  <c r="I83"/>
  <c r="H100"/>
  <c r="P100"/>
  <c r="P83"/>
  <c r="Y19" i="17"/>
  <c r="M74" i="20"/>
  <c r="L24"/>
  <c r="J73"/>
  <c r="I23"/>
  <c r="H71"/>
  <c r="G21"/>
  <c r="X17" i="17"/>
  <c r="F70" i="20"/>
  <c r="E20"/>
  <c r="O20"/>
  <c r="W11" i="17"/>
  <c r="W12"/>
  <c r="J72" i="20"/>
  <c r="I22"/>
  <c r="O70"/>
  <c r="U69"/>
  <c r="T75"/>
  <c r="BM51" i="23"/>
  <c r="N51"/>
  <c r="R51"/>
  <c r="AC417" i="21"/>
  <c r="AC395"/>
  <c r="AD417"/>
  <c r="AD395"/>
  <c r="T211" i="29"/>
  <c r="R37"/>
  <c r="R209"/>
  <c r="P89" i="27"/>
  <c r="R89"/>
  <c r="R90"/>
  <c r="R27" i="23"/>
  <c r="S27"/>
  <c r="R17"/>
  <c r="D27" i="20"/>
  <c r="E27"/>
  <c r="F27"/>
  <c r="G27"/>
  <c r="H27"/>
  <c r="I27"/>
  <c r="J27"/>
  <c r="K27"/>
  <c r="L27"/>
  <c r="M27"/>
  <c r="N27"/>
  <c r="S37" i="29"/>
  <c r="R24"/>
  <c r="R208"/>
  <c r="S24"/>
  <c r="Q28"/>
  <c r="P19" i="30"/>
  <c r="O19"/>
  <c r="O18"/>
  <c r="T30" i="29"/>
  <c r="T209"/>
  <c r="T125"/>
  <c r="R57" i="23"/>
  <c r="AJ13"/>
  <c r="AJ10"/>
  <c r="AI10"/>
  <c r="R30" i="20"/>
  <c r="AE17" i="17"/>
  <c r="AE18"/>
  <c r="AV37" i="23"/>
  <c r="N37"/>
  <c r="M37"/>
  <c r="N43"/>
  <c r="M43"/>
  <c r="AU24"/>
  <c r="L24"/>
  <c r="R12"/>
  <c r="S12"/>
  <c r="AZ17"/>
  <c r="BA17"/>
  <c r="AD25"/>
  <c r="AD9"/>
  <c r="G67" i="20"/>
  <c r="G98"/>
  <c r="G18"/>
  <c r="M48" i="23"/>
  <c r="N48"/>
  <c r="Q38"/>
  <c r="N46"/>
  <c r="R46"/>
  <c r="S46"/>
  <c r="BQ46"/>
  <c r="BR46"/>
  <c r="D49" i="17"/>
  <c r="A49"/>
  <c r="P22" i="20"/>
  <c r="BP38" i="23"/>
  <c r="BP33"/>
  <c r="BM11"/>
  <c r="BL10"/>
  <c r="O31" i="20"/>
  <c r="F18"/>
  <c r="BN9" i="23"/>
  <c r="BN5"/>
  <c r="BN4"/>
  <c r="G72" i="17"/>
  <c r="Q10" i="23"/>
  <c r="CH7" i="27"/>
  <c r="CG19"/>
  <c r="CP7"/>
  <c r="AV55" i="23"/>
  <c r="N56"/>
  <c r="AZ56"/>
  <c r="I127" i="8"/>
  <c r="L41" i="23"/>
  <c r="AC38"/>
  <c r="M13"/>
  <c r="K55"/>
  <c r="Q58"/>
  <c r="L45"/>
  <c r="AV30"/>
  <c r="N30"/>
  <c r="M30"/>
  <c r="N21"/>
  <c r="R21"/>
  <c r="S21"/>
  <c r="AZ21"/>
  <c r="BA21"/>
  <c r="N47"/>
  <c r="M47"/>
  <c r="BM50"/>
  <c r="N50"/>
  <c r="M50"/>
  <c r="J59" i="8"/>
  <c r="J33" i="23"/>
  <c r="AB33"/>
  <c r="K38"/>
  <c r="Q59" i="20"/>
  <c r="S59"/>
  <c r="AJ26" i="23"/>
  <c r="D23" i="4"/>
  <c r="H41" i="8"/>
  <c r="M11" i="17"/>
  <c r="O18" i="20"/>
  <c r="R13" i="17"/>
  <c r="L53" i="23"/>
  <c r="L49"/>
  <c r="L8"/>
  <c r="AD8"/>
  <c r="E9"/>
  <c r="O22"/>
  <c r="R29" i="20"/>
  <c r="AE15" i="17"/>
  <c r="AE16"/>
  <c r="L34" i="23"/>
  <c r="E8" i="20"/>
  <c r="BL25" i="23"/>
  <c r="BM26"/>
  <c r="BM25"/>
  <c r="H25" i="27"/>
  <c r="BR19"/>
  <c r="N18" i="23"/>
  <c r="M18"/>
  <c r="M35"/>
  <c r="N35"/>
  <c r="AI27"/>
  <c r="AJ27"/>
  <c r="AZ57"/>
  <c r="BA57"/>
  <c r="G66" i="17"/>
  <c r="AU36" i="23"/>
  <c r="L36"/>
  <c r="AU10"/>
  <c r="L15"/>
  <c r="L10"/>
  <c r="M20" i="17"/>
  <c r="AU23" i="23"/>
  <c r="L23"/>
  <c r="AV26"/>
  <c r="AU25"/>
  <c r="BQ59"/>
  <c r="BR59"/>
  <c r="N59"/>
  <c r="R59"/>
  <c r="S59"/>
  <c r="N19"/>
  <c r="M19"/>
  <c r="M28"/>
  <c r="AT38"/>
  <c r="AT33"/>
  <c r="L39"/>
  <c r="BL40"/>
  <c r="M40"/>
  <c r="BK38"/>
  <c r="BK33"/>
  <c r="AD60"/>
  <c r="L60"/>
  <c r="L58"/>
  <c r="AC55"/>
  <c r="G130" i="8"/>
  <c r="K130"/>
  <c r="L21" i="17"/>
  <c r="N16" i="23"/>
  <c r="R16"/>
  <c r="S16"/>
  <c r="AZ16"/>
  <c r="BA16"/>
  <c r="M42"/>
  <c r="N31"/>
  <c r="M31"/>
  <c r="N20"/>
  <c r="R20"/>
  <c r="S20"/>
  <c r="AZ20"/>
  <c r="BA20"/>
  <c r="P72" i="20"/>
  <c r="L25" i="23"/>
  <c r="Q25"/>
  <c r="K44"/>
  <c r="Q44"/>
  <c r="H52" i="17"/>
  <c r="D52"/>
  <c r="A52"/>
  <c r="D51"/>
  <c r="M14" i="23"/>
  <c r="J62" i="8"/>
  <c r="G6" i="20"/>
  <c r="H9"/>
  <c r="P63"/>
  <c r="G29" i="27"/>
  <c r="O29"/>
  <c r="O25"/>
  <c r="M29" i="23"/>
  <c r="AI36"/>
  <c r="AJ36"/>
  <c r="AZ34"/>
  <c r="CA7" i="27"/>
  <c r="BY19"/>
  <c r="M18" i="17"/>
  <c r="Q34" i="23"/>
  <c r="G75" i="17"/>
  <c r="AH38" i="23"/>
  <c r="AH33"/>
  <c r="AY38"/>
  <c r="AY33"/>
  <c r="BE9"/>
  <c r="BE5"/>
  <c r="BE4"/>
  <c r="F22"/>
  <c r="J91" i="8"/>
  <c r="AH55" i="23"/>
  <c r="J130" i="8"/>
  <c r="K21" i="17"/>
  <c r="L52" i="23"/>
  <c r="M32"/>
  <c r="M11"/>
  <c r="K10"/>
  <c r="M26"/>
  <c r="AZ12"/>
  <c r="BA12"/>
  <c r="E17" i="10"/>
  <c r="S17" i="23"/>
  <c r="C7" i="10"/>
  <c r="D17" i="4"/>
  <c r="S57" i="23"/>
  <c r="B94" i="17"/>
  <c r="H94"/>
  <c r="S51" i="23"/>
  <c r="B85" i="17"/>
  <c r="H85"/>
  <c r="D85"/>
  <c r="D34" i="4"/>
  <c r="AB18" i="17"/>
  <c r="K81" i="20"/>
  <c r="J83"/>
  <c r="J100"/>
  <c r="I100"/>
  <c r="G70"/>
  <c r="F20"/>
  <c r="I71"/>
  <c r="H21"/>
  <c r="P21"/>
  <c r="X13" i="17"/>
  <c r="P71" i="20"/>
  <c r="Y20" i="17"/>
  <c r="K73" i="20"/>
  <c r="Q73"/>
  <c r="J23"/>
  <c r="K72"/>
  <c r="J22"/>
  <c r="X18" i="17"/>
  <c r="N74" i="20"/>
  <c r="M24"/>
  <c r="U75"/>
  <c r="C69"/>
  <c r="C19"/>
  <c r="BQ51" i="23"/>
  <c r="BR51"/>
  <c r="AI48"/>
  <c r="AJ48"/>
  <c r="S28" i="29"/>
  <c r="S208"/>
  <c r="Q19" i="30"/>
  <c r="P18"/>
  <c r="BQ26" i="23"/>
  <c r="BQ25"/>
  <c r="R18"/>
  <c r="S18"/>
  <c r="R47"/>
  <c r="S47"/>
  <c r="AI31"/>
  <c r="AJ31"/>
  <c r="R30"/>
  <c r="S30"/>
  <c r="AV25"/>
  <c r="AZ30"/>
  <c r="BA30"/>
  <c r="AZ47"/>
  <c r="BA47"/>
  <c r="R48"/>
  <c r="S48"/>
  <c r="AZ18"/>
  <c r="BA18"/>
  <c r="R37"/>
  <c r="S37"/>
  <c r="N26"/>
  <c r="R26"/>
  <c r="O27" i="20"/>
  <c r="AB11" i="17"/>
  <c r="AB12"/>
  <c r="T37" i="29"/>
  <c r="T24"/>
  <c r="R28"/>
  <c r="R27" i="20"/>
  <c r="AE11" i="17"/>
  <c r="AE12"/>
  <c r="D76"/>
  <c r="K67" i="8"/>
  <c r="R50" i="23"/>
  <c r="S50"/>
  <c r="R43"/>
  <c r="S43"/>
  <c r="K33"/>
  <c r="AI43"/>
  <c r="AJ43"/>
  <c r="R19"/>
  <c r="BQ50"/>
  <c r="BR50"/>
  <c r="AZ19"/>
  <c r="BA19"/>
  <c r="AI35"/>
  <c r="AJ35"/>
  <c r="R31"/>
  <c r="S31"/>
  <c r="AZ37"/>
  <c r="BA37"/>
  <c r="AV24"/>
  <c r="M24"/>
  <c r="R35"/>
  <c r="S35"/>
  <c r="X15" i="17"/>
  <c r="M25" i="23"/>
  <c r="J127" i="8"/>
  <c r="J72"/>
  <c r="J61"/>
  <c r="Q33" i="23"/>
  <c r="G74" i="17"/>
  <c r="AQ17"/>
  <c r="AG18"/>
  <c r="H138" i="8"/>
  <c r="AV17" i="17"/>
  <c r="CA19" i="27"/>
  <c r="I25"/>
  <c r="H67" i="20"/>
  <c r="H98"/>
  <c r="P98"/>
  <c r="H6"/>
  <c r="M58" i="23"/>
  <c r="M55"/>
  <c r="AD55"/>
  <c r="BM40"/>
  <c r="N40"/>
  <c r="R40"/>
  <c r="S40"/>
  <c r="BL38"/>
  <c r="BL33"/>
  <c r="M39"/>
  <c r="AU38"/>
  <c r="AU33"/>
  <c r="H29" i="27"/>
  <c r="M49" i="23"/>
  <c r="R14" i="17"/>
  <c r="E15" i="10"/>
  <c r="Q55" i="23"/>
  <c r="BM10"/>
  <c r="BQ11"/>
  <c r="N11"/>
  <c r="R11"/>
  <c r="AZ11"/>
  <c r="BA34"/>
  <c r="E19" i="10"/>
  <c r="N14" i="23"/>
  <c r="R14"/>
  <c r="S14"/>
  <c r="AZ14"/>
  <c r="BA14"/>
  <c r="F130" i="8"/>
  <c r="E130"/>
  <c r="G127"/>
  <c r="L55" i="23"/>
  <c r="M60"/>
  <c r="AE60"/>
  <c r="AV23"/>
  <c r="M23"/>
  <c r="F8" i="20"/>
  <c r="O9" i="23"/>
  <c r="M45"/>
  <c r="N45"/>
  <c r="N13"/>
  <c r="R13"/>
  <c r="S13"/>
  <c r="AZ13"/>
  <c r="BA13"/>
  <c r="R56"/>
  <c r="H93" i="17"/>
  <c r="CJ7" i="27"/>
  <c r="CH19"/>
  <c r="AZ26" i="23"/>
  <c r="N32"/>
  <c r="R32"/>
  <c r="S32"/>
  <c r="AI32"/>
  <c r="AJ32"/>
  <c r="AZ40"/>
  <c r="BA40"/>
  <c r="L44"/>
  <c r="K127" i="8"/>
  <c r="M8" i="23"/>
  <c r="AE8"/>
  <c r="H10" i="20"/>
  <c r="M12" i="17"/>
  <c r="D5" i="20"/>
  <c r="AZ55" i="23"/>
  <c r="BA56"/>
  <c r="BA55"/>
  <c r="J58" i="8"/>
  <c r="AQ9" i="23"/>
  <c r="AQ5"/>
  <c r="AQ4"/>
  <c r="AB19" i="17"/>
  <c r="AC33" i="23"/>
  <c r="O8" i="20"/>
  <c r="M52" i="23"/>
  <c r="N52"/>
  <c r="F9"/>
  <c r="N29"/>
  <c r="R29"/>
  <c r="S29"/>
  <c r="AI29"/>
  <c r="AJ29"/>
  <c r="AU9"/>
  <c r="I9" i="20"/>
  <c r="P9"/>
  <c r="N42" i="23"/>
  <c r="R42"/>
  <c r="S42"/>
  <c r="AZ42"/>
  <c r="BA42"/>
  <c r="L38"/>
  <c r="N28"/>
  <c r="R28"/>
  <c r="S28"/>
  <c r="AI28"/>
  <c r="AJ28"/>
  <c r="N15"/>
  <c r="M15"/>
  <c r="M10"/>
  <c r="AV36"/>
  <c r="AZ36"/>
  <c r="M36"/>
  <c r="M34"/>
  <c r="N53"/>
  <c r="M53"/>
  <c r="H40" i="8"/>
  <c r="H80"/>
  <c r="M41" i="23"/>
  <c r="AD38"/>
  <c r="CQ7" i="27"/>
  <c r="CP19"/>
  <c r="CY7"/>
  <c r="AE25" i="23"/>
  <c r="AE9"/>
  <c r="H56" i="17"/>
  <c r="G101"/>
  <c r="J60" i="8"/>
  <c r="D19" i="4"/>
  <c r="D94" i="17"/>
  <c r="A94"/>
  <c r="K94" i="8"/>
  <c r="A85" i="17"/>
  <c r="S19" i="23"/>
  <c r="C8" i="10"/>
  <c r="C9"/>
  <c r="L81" i="20"/>
  <c r="K83"/>
  <c r="Q81"/>
  <c r="H70"/>
  <c r="G20"/>
  <c r="N24"/>
  <c r="R24"/>
  <c r="R74"/>
  <c r="S74"/>
  <c r="L72"/>
  <c r="K22"/>
  <c r="J71"/>
  <c r="I21"/>
  <c r="L73"/>
  <c r="K23"/>
  <c r="Q23"/>
  <c r="D69"/>
  <c r="C25"/>
  <c r="C75"/>
  <c r="C26"/>
  <c r="T28" i="29"/>
  <c r="T208"/>
  <c r="BR26" i="23"/>
  <c r="BR25"/>
  <c r="H73" i="17"/>
  <c r="D73"/>
  <c r="AD33" i="23"/>
  <c r="L33"/>
  <c r="AJ25"/>
  <c r="AJ9"/>
  <c r="R45"/>
  <c r="S45"/>
  <c r="AG11" i="17"/>
  <c r="AQ11"/>
  <c r="G67" i="8"/>
  <c r="AU5" i="23"/>
  <c r="AU4"/>
  <c r="R53"/>
  <c r="S53"/>
  <c r="AI45"/>
  <c r="AJ45"/>
  <c r="P30" i="20"/>
  <c r="O29"/>
  <c r="N24" i="23"/>
  <c r="R24"/>
  <c r="S24"/>
  <c r="AZ24"/>
  <c r="BA24"/>
  <c r="R52"/>
  <c r="S52"/>
  <c r="BA36"/>
  <c r="H64" i="17"/>
  <c r="H66"/>
  <c r="K65" i="8"/>
  <c r="D56" i="17"/>
  <c r="CY19" i="27"/>
  <c r="CZ7"/>
  <c r="DH7"/>
  <c r="C2" i="10"/>
  <c r="N17" i="17"/>
  <c r="M15"/>
  <c r="S11" i="23"/>
  <c r="E14" i="10"/>
  <c r="I10" i="20"/>
  <c r="P10"/>
  <c r="E127" i="8"/>
  <c r="I67" i="20"/>
  <c r="I98"/>
  <c r="BM38" i="23"/>
  <c r="BM33"/>
  <c r="BQ40"/>
  <c r="H18" i="20"/>
  <c r="P14"/>
  <c r="AV18" i="17"/>
  <c r="E16" i="10"/>
  <c r="X16" i="17"/>
  <c r="AZ15" i="23"/>
  <c r="BA15"/>
  <c r="N41"/>
  <c r="R41"/>
  <c r="S41"/>
  <c r="AE38"/>
  <c r="N34"/>
  <c r="E5" i="20"/>
  <c r="O5"/>
  <c r="AZ25" i="23"/>
  <c r="BA26"/>
  <c r="BA25"/>
  <c r="BG9"/>
  <c r="BG5"/>
  <c r="BG4"/>
  <c r="H22"/>
  <c r="BO22"/>
  <c r="BI9"/>
  <c r="BI5"/>
  <c r="BI4"/>
  <c r="J22"/>
  <c r="J9"/>
  <c r="R21" i="17"/>
  <c r="N58" i="23"/>
  <c r="AE55"/>
  <c r="AI58"/>
  <c r="AI25"/>
  <c r="AI9"/>
  <c r="R15"/>
  <c r="S15"/>
  <c r="AV10"/>
  <c r="AV9"/>
  <c r="N25"/>
  <c r="AI41"/>
  <c r="CS7" i="27"/>
  <c r="CQ19"/>
  <c r="N36" i="23"/>
  <c r="R36"/>
  <c r="S36"/>
  <c r="N8"/>
  <c r="R8"/>
  <c r="S8"/>
  <c r="A80" i="17"/>
  <c r="AI8" i="23"/>
  <c r="AJ8"/>
  <c r="S56"/>
  <c r="N60"/>
  <c r="R60"/>
  <c r="S60"/>
  <c r="B99" i="17"/>
  <c r="A99"/>
  <c r="AI60" i="23"/>
  <c r="AJ60"/>
  <c r="F127" i="8"/>
  <c r="AV38" i="23"/>
  <c r="AV33"/>
  <c r="N39"/>
  <c r="AZ39"/>
  <c r="I6" i="20"/>
  <c r="P6"/>
  <c r="I29" i="27"/>
  <c r="AQ18" i="17"/>
  <c r="E22" i="10"/>
  <c r="Q72" i="20"/>
  <c r="N10" i="23"/>
  <c r="AI52"/>
  <c r="AJ52"/>
  <c r="AI34"/>
  <c r="X14" i="17"/>
  <c r="J9" i="20"/>
  <c r="AB20" i="17"/>
  <c r="AG19"/>
  <c r="M44" i="23"/>
  <c r="J25" i="27"/>
  <c r="CJ19"/>
  <c r="G8" i="20"/>
  <c r="N23" i="23"/>
  <c r="R23"/>
  <c r="AZ23"/>
  <c r="BA23"/>
  <c r="BA11"/>
  <c r="BQ10"/>
  <c r="BR11"/>
  <c r="BR10"/>
  <c r="N49"/>
  <c r="R49"/>
  <c r="S49"/>
  <c r="AZ49"/>
  <c r="BA49"/>
  <c r="P67" i="20"/>
  <c r="H145" i="8"/>
  <c r="E18" i="10"/>
  <c r="R25" i="23"/>
  <c r="S26"/>
  <c r="S25"/>
  <c r="M38"/>
  <c r="AI53"/>
  <c r="AJ53"/>
  <c r="F17" i="10"/>
  <c r="G17"/>
  <c r="A56" i="17"/>
  <c r="H81"/>
  <c r="D81"/>
  <c r="K71" i="8"/>
  <c r="F21" i="10"/>
  <c r="K75" i="8"/>
  <c r="G94"/>
  <c r="C1" i="10"/>
  <c r="D26" i="20"/>
  <c r="E26"/>
  <c r="F26"/>
  <c r="G26"/>
  <c r="H26"/>
  <c r="I26"/>
  <c r="J26"/>
  <c r="K26"/>
  <c r="L26"/>
  <c r="M26"/>
  <c r="N26"/>
  <c r="M81"/>
  <c r="L83"/>
  <c r="K100"/>
  <c r="Q100"/>
  <c r="Q83"/>
  <c r="Y17" i="17"/>
  <c r="M73" i="20"/>
  <c r="L23"/>
  <c r="Z19" i="17"/>
  <c r="S24" i="20"/>
  <c r="I70"/>
  <c r="H20"/>
  <c r="P20"/>
  <c r="X11" i="17"/>
  <c r="X12"/>
  <c r="K71" i="20"/>
  <c r="J21"/>
  <c r="M72"/>
  <c r="L22"/>
  <c r="P70"/>
  <c r="C99"/>
  <c r="E69"/>
  <c r="D19"/>
  <c r="D25"/>
  <c r="D75"/>
  <c r="D99"/>
  <c r="K59" i="8"/>
  <c r="G59"/>
  <c r="AZ10" i="23"/>
  <c r="BA10"/>
  <c r="M33"/>
  <c r="AG12" i="17"/>
  <c r="H139" i="8"/>
  <c r="H146"/>
  <c r="AV11" i="17"/>
  <c r="AV12"/>
  <c r="E67" i="8"/>
  <c r="AE33" i="23"/>
  <c r="AV19" i="17"/>
  <c r="AG20"/>
  <c r="H140" i="8"/>
  <c r="AQ19" i="17"/>
  <c r="AJ34" i="23"/>
  <c r="AJ41"/>
  <c r="AJ38"/>
  <c r="AI44"/>
  <c r="AJ44"/>
  <c r="AJ33"/>
  <c r="N11" i="17"/>
  <c r="N38" i="23"/>
  <c r="R39"/>
  <c r="E23" i="4"/>
  <c r="E17"/>
  <c r="I41" i="8"/>
  <c r="R58" i="23"/>
  <c r="N55"/>
  <c r="I18" i="20"/>
  <c r="P31"/>
  <c r="S10" i="23"/>
  <c r="M9" i="17"/>
  <c r="J67" i="20"/>
  <c r="J98"/>
  <c r="J18"/>
  <c r="AZ38" i="23"/>
  <c r="AZ33"/>
  <c r="BA39"/>
  <c r="BA38"/>
  <c r="BA33"/>
  <c r="K93" i="8"/>
  <c r="D93" i="17"/>
  <c r="AQ12"/>
  <c r="F5" i="20"/>
  <c r="N19" i="17"/>
  <c r="M16"/>
  <c r="CZ19" i="27"/>
  <c r="DB7"/>
  <c r="K62" i="8"/>
  <c r="G65"/>
  <c r="AS9" i="23"/>
  <c r="AS5"/>
  <c r="AS4"/>
  <c r="AY22"/>
  <c r="H8" i="20"/>
  <c r="P27"/>
  <c r="AI38" i="23"/>
  <c r="AI55"/>
  <c r="AJ58"/>
  <c r="AJ55"/>
  <c r="H9"/>
  <c r="P22"/>
  <c r="Q22" i="20"/>
  <c r="S13" i="17"/>
  <c r="P18" i="20"/>
  <c r="BQ38" i="23"/>
  <c r="BQ33"/>
  <c r="BR40"/>
  <c r="BR38"/>
  <c r="BR33"/>
  <c r="BH9"/>
  <c r="BH5"/>
  <c r="BH4"/>
  <c r="I22"/>
  <c r="N18" i="17"/>
  <c r="DI7" i="27"/>
  <c r="DH19"/>
  <c r="D64" i="17"/>
  <c r="D66"/>
  <c r="AV5" i="23"/>
  <c r="AV4"/>
  <c r="R10"/>
  <c r="R34"/>
  <c r="H75" i="17"/>
  <c r="D75"/>
  <c r="S23" i="23"/>
  <c r="AC17" i="17"/>
  <c r="N44" i="23"/>
  <c r="Q63" i="20"/>
  <c r="J29" i="27"/>
  <c r="P29"/>
  <c r="P25"/>
  <c r="K9" i="20"/>
  <c r="L9"/>
  <c r="J6"/>
  <c r="AB15" i="17"/>
  <c r="AG15"/>
  <c r="B93"/>
  <c r="CS19" i="27"/>
  <c r="K25"/>
  <c r="BO9" i="23"/>
  <c r="BO5"/>
  <c r="BO4"/>
  <c r="J10" i="20"/>
  <c r="H72" i="17"/>
  <c r="B73"/>
  <c r="A73"/>
  <c r="H15" i="10"/>
  <c r="E19" i="4"/>
  <c r="E94" i="8"/>
  <c r="E75"/>
  <c r="F94"/>
  <c r="F75"/>
  <c r="G75"/>
  <c r="K74"/>
  <c r="G93"/>
  <c r="G74"/>
  <c r="E34" i="4"/>
  <c r="D8" i="10"/>
  <c r="D7"/>
  <c r="N81" i="20"/>
  <c r="N83"/>
  <c r="N100"/>
  <c r="M83"/>
  <c r="M100"/>
  <c r="L100"/>
  <c r="Y18" i="17"/>
  <c r="L71" i="20"/>
  <c r="K21"/>
  <c r="Q21"/>
  <c r="Y13" i="17"/>
  <c r="Q71" i="20"/>
  <c r="Z20" i="17"/>
  <c r="AA19"/>
  <c r="AA20"/>
  <c r="N73" i="20"/>
  <c r="M23"/>
  <c r="N72"/>
  <c r="N22"/>
  <c r="M22"/>
  <c r="J70"/>
  <c r="I20"/>
  <c r="F69"/>
  <c r="E19"/>
  <c r="E25"/>
  <c r="E75"/>
  <c r="E99"/>
  <c r="O99"/>
  <c r="O69"/>
  <c r="N33" i="23"/>
  <c r="F15" i="10"/>
  <c r="R26" i="20"/>
  <c r="F67" i="8"/>
  <c r="M9" i="20"/>
  <c r="N9"/>
  <c r="A93" i="17"/>
  <c r="AI33" i="23"/>
  <c r="AG16" i="17"/>
  <c r="H137" i="8"/>
  <c r="AV15" i="17"/>
  <c r="AQ15"/>
  <c r="K10" i="20"/>
  <c r="K29" i="27"/>
  <c r="AC18" i="17"/>
  <c r="I9" i="23"/>
  <c r="L25" i="27"/>
  <c r="DB19"/>
  <c r="AZ22" i="23"/>
  <c r="AZ9"/>
  <c r="AZ5"/>
  <c r="AZ4"/>
  <c r="AT9"/>
  <c r="AT5"/>
  <c r="AT4"/>
  <c r="I40" i="8"/>
  <c r="N12" i="17"/>
  <c r="AH17"/>
  <c r="I8" i="20"/>
  <c r="P8"/>
  <c r="F19" i="10"/>
  <c r="G62" i="8"/>
  <c r="S58" i="23"/>
  <c r="S55"/>
  <c r="R55"/>
  <c r="AV20" i="17"/>
  <c r="R44" i="23"/>
  <c r="S44"/>
  <c r="E59" i="8"/>
  <c r="DK7" i="27"/>
  <c r="DI19"/>
  <c r="DM7"/>
  <c r="DM19"/>
  <c r="Y15" i="17"/>
  <c r="P9" i="23"/>
  <c r="N20" i="17"/>
  <c r="G5" i="20"/>
  <c r="K91" i="8"/>
  <c r="M10" i="17"/>
  <c r="H147" i="8"/>
  <c r="K6" i="20"/>
  <c r="L6"/>
  <c r="K67"/>
  <c r="K98"/>
  <c r="Q98"/>
  <c r="K58" i="8"/>
  <c r="D72" i="17"/>
  <c r="AB16"/>
  <c r="Q9" i="20"/>
  <c r="K61" i="8"/>
  <c r="S34" i="23"/>
  <c r="S14" i="17"/>
  <c r="AC11"/>
  <c r="AH11"/>
  <c r="AY9" i="23"/>
  <c r="AY5"/>
  <c r="AY4"/>
  <c r="E65" i="8"/>
  <c r="AC19" i="17"/>
  <c r="R38" i="23"/>
  <c r="S39"/>
  <c r="S38"/>
  <c r="AQ20" i="17"/>
  <c r="S33" i="23"/>
  <c r="B76" i="17"/>
  <c r="A76"/>
  <c r="H19" i="10"/>
  <c r="G19"/>
  <c r="I19"/>
  <c r="D9"/>
  <c r="R100" i="20"/>
  <c r="S100"/>
  <c r="G15" i="10"/>
  <c r="I15"/>
  <c r="R83" i="20"/>
  <c r="S83"/>
  <c r="R81"/>
  <c r="S81"/>
  <c r="BA22" i="23"/>
  <c r="BA9"/>
  <c r="BA5"/>
  <c r="BA4"/>
  <c r="M71" i="20"/>
  <c r="L21"/>
  <c r="O75"/>
  <c r="K70"/>
  <c r="J20"/>
  <c r="N23"/>
  <c r="R23"/>
  <c r="R73"/>
  <c r="S73"/>
  <c r="G69"/>
  <c r="F19"/>
  <c r="F75"/>
  <c r="O19"/>
  <c r="R33" i="23"/>
  <c r="H74" i="17"/>
  <c r="AE9"/>
  <c r="AE10"/>
  <c r="R9" i="20"/>
  <c r="P17" i="17"/>
  <c r="M10" i="20"/>
  <c r="N10"/>
  <c r="R10"/>
  <c r="P19" i="17"/>
  <c r="M6" i="20"/>
  <c r="N6"/>
  <c r="P29"/>
  <c r="Q30"/>
  <c r="S30"/>
  <c r="O26"/>
  <c r="AB9" i="17"/>
  <c r="AW11"/>
  <c r="AR11"/>
  <c r="AH12"/>
  <c r="I139" i="8"/>
  <c r="F65"/>
  <c r="E62"/>
  <c r="F18" i="10"/>
  <c r="G61" i="8"/>
  <c r="K18" i="20"/>
  <c r="Q14"/>
  <c r="F93" i="8"/>
  <c r="F74"/>
  <c r="E93"/>
  <c r="E74"/>
  <c r="Y16" i="17"/>
  <c r="N15"/>
  <c r="G71" i="8"/>
  <c r="H21" i="10"/>
  <c r="BL9" i="23"/>
  <c r="BL5"/>
  <c r="BL4"/>
  <c r="M22"/>
  <c r="M9"/>
  <c r="L67" i="20"/>
  <c r="L98"/>
  <c r="AQ16" i="17"/>
  <c r="DK19" i="27"/>
  <c r="M25"/>
  <c r="DN7"/>
  <c r="DN19"/>
  <c r="F59" i="8"/>
  <c r="J8" i="20"/>
  <c r="Y14" i="17"/>
  <c r="Q6" i="20"/>
  <c r="K72" i="8"/>
  <c r="G91"/>
  <c r="I80"/>
  <c r="D2" i="10"/>
  <c r="H144" i="8"/>
  <c r="AC20" i="17"/>
  <c r="AC12"/>
  <c r="S21"/>
  <c r="O17"/>
  <c r="F14" i="10"/>
  <c r="G58" i="8"/>
  <c r="Q67" i="20"/>
  <c r="BJ9" i="23"/>
  <c r="BJ5"/>
  <c r="BJ4"/>
  <c r="BP22"/>
  <c r="K22"/>
  <c r="H5" i="20"/>
  <c r="AW17" i="17"/>
  <c r="AH18"/>
  <c r="I138" i="8"/>
  <c r="AR17" i="17"/>
  <c r="L29" i="27"/>
  <c r="Q10" i="20"/>
  <c r="AV16" i="17"/>
  <c r="AH19"/>
  <c r="H101"/>
  <c r="K60" i="8"/>
  <c r="H18" i="10"/>
  <c r="G18"/>
  <c r="I18"/>
  <c r="B75" i="17"/>
  <c r="A75"/>
  <c r="D74"/>
  <c r="D101"/>
  <c r="B72"/>
  <c r="A72"/>
  <c r="H14" i="10"/>
  <c r="B81" i="17"/>
  <c r="A81"/>
  <c r="BS2" i="23"/>
  <c r="BA1"/>
  <c r="D1" i="10"/>
  <c r="G14"/>
  <c r="G21"/>
  <c r="I21"/>
  <c r="L70" i="20"/>
  <c r="K20"/>
  <c r="Q20"/>
  <c r="Y11" i="17"/>
  <c r="Y12"/>
  <c r="N71" i="20"/>
  <c r="N21"/>
  <c r="M21"/>
  <c r="Q70"/>
  <c r="Z17" i="17"/>
  <c r="AJ17"/>
  <c r="AY17"/>
  <c r="AY18"/>
  <c r="S23" i="20"/>
  <c r="F25"/>
  <c r="O25"/>
  <c r="W9" i="17"/>
  <c r="W10"/>
  <c r="W21"/>
  <c r="F99" i="20"/>
  <c r="H69"/>
  <c r="P69"/>
  <c r="G19"/>
  <c r="G25"/>
  <c r="G75"/>
  <c r="G99"/>
  <c r="S9"/>
  <c r="P18" i="17"/>
  <c r="P20"/>
  <c r="AJ19"/>
  <c r="R6" i="20"/>
  <c r="P11" i="17"/>
  <c r="P12"/>
  <c r="Q27" i="20"/>
  <c r="AD11" i="17"/>
  <c r="AD17"/>
  <c r="AF17"/>
  <c r="AF18"/>
  <c r="I5" i="20"/>
  <c r="P5"/>
  <c r="R22"/>
  <c r="R72"/>
  <c r="S72"/>
  <c r="K8"/>
  <c r="L18"/>
  <c r="T13" i="17"/>
  <c r="Q18" i="20"/>
  <c r="F62" i="8"/>
  <c r="AW12" i="17"/>
  <c r="O19"/>
  <c r="S10" i="20"/>
  <c r="E58" i="8"/>
  <c r="O18" i="17"/>
  <c r="Q17"/>
  <c r="E9" i="26"/>
  <c r="E17"/>
  <c r="D9"/>
  <c r="R63" i="20"/>
  <c r="S63"/>
  <c r="M29" i="27"/>
  <c r="Q29"/>
  <c r="R29"/>
  <c r="R30"/>
  <c r="Q25"/>
  <c r="R25"/>
  <c r="E71" i="8"/>
  <c r="N16" i="17"/>
  <c r="E91" i="8"/>
  <c r="J41"/>
  <c r="F23" i="4"/>
  <c r="F17"/>
  <c r="AR12" i="17"/>
  <c r="AW18"/>
  <c r="AC15"/>
  <c r="F22" i="10"/>
  <c r="G72" i="8"/>
  <c r="H22" i="10"/>
  <c r="O11" i="17"/>
  <c r="DP19" i="27"/>
  <c r="E61" i="8"/>
  <c r="I146"/>
  <c r="Q31" i="20"/>
  <c r="I145" i="8"/>
  <c r="BP9" i="23"/>
  <c r="BP5"/>
  <c r="BP4"/>
  <c r="AR18" i="17"/>
  <c r="K9" i="23"/>
  <c r="Q22"/>
  <c r="AH20" i="17"/>
  <c r="I140" i="8"/>
  <c r="AW19" i="17"/>
  <c r="AR19"/>
  <c r="M67" i="20"/>
  <c r="M98"/>
  <c r="M18"/>
  <c r="BK9" i="23"/>
  <c r="BK5"/>
  <c r="BK4"/>
  <c r="L22"/>
  <c r="AB10" i="17"/>
  <c r="F91" i="8"/>
  <c r="I14" i="10"/>
  <c r="F19" i="4"/>
  <c r="F16" i="10"/>
  <c r="F34" i="4"/>
  <c r="E8" i="10"/>
  <c r="E7"/>
  <c r="E9"/>
  <c r="G22"/>
  <c r="I22"/>
  <c r="R21" i="20"/>
  <c r="S21"/>
  <c r="R71"/>
  <c r="S71"/>
  <c r="AG9" i="17"/>
  <c r="AV9"/>
  <c r="AT17"/>
  <c r="AT18"/>
  <c r="M70" i="20"/>
  <c r="L20"/>
  <c r="AJ18" i="17"/>
  <c r="K138" i="8"/>
  <c r="Z18" i="17"/>
  <c r="AA17"/>
  <c r="AA18"/>
  <c r="I69" i="20"/>
  <c r="H19"/>
  <c r="H75"/>
  <c r="H99"/>
  <c r="P99"/>
  <c r="S6"/>
  <c r="AT19" i="17"/>
  <c r="AT20"/>
  <c r="AY19"/>
  <c r="AY20"/>
  <c r="AJ20"/>
  <c r="K140" i="8"/>
  <c r="Q8" i="20"/>
  <c r="O15" i="17"/>
  <c r="L8" i="20"/>
  <c r="S27"/>
  <c r="AI17" i="17"/>
  <c r="AX17"/>
  <c r="AD18"/>
  <c r="I147" i="8"/>
  <c r="AC16" i="17"/>
  <c r="F71" i="8"/>
  <c r="N67" i="20"/>
  <c r="N18"/>
  <c r="AD12" i="17"/>
  <c r="AF11"/>
  <c r="AF12"/>
  <c r="AW20"/>
  <c r="Q9" i="23"/>
  <c r="AI11" i="17"/>
  <c r="O12"/>
  <c r="Q11"/>
  <c r="E72" i="8"/>
  <c r="D17" i="26"/>
  <c r="BS22" i="23"/>
  <c r="O20" i="17"/>
  <c r="Q19"/>
  <c r="N9"/>
  <c r="L9" i="23"/>
  <c r="AR20" i="17"/>
  <c r="AD19"/>
  <c r="S31" i="20"/>
  <c r="F61" i="8"/>
  <c r="J40"/>
  <c r="Z15" i="17"/>
  <c r="S22" i="20"/>
  <c r="AH15" i="17"/>
  <c r="Q18"/>
  <c r="F58" i="8"/>
  <c r="T14" i="17"/>
  <c r="J5" i="20"/>
  <c r="G60" i="8"/>
  <c r="B74" i="17"/>
  <c r="G16" i="10"/>
  <c r="N98" i="20"/>
  <c r="R98"/>
  <c r="S98"/>
  <c r="Z13" i="17"/>
  <c r="Z14"/>
  <c r="AQ9"/>
  <c r="AQ10"/>
  <c r="AG10"/>
  <c r="H55" i="8"/>
  <c r="K145"/>
  <c r="AK17" i="17"/>
  <c r="AK18"/>
  <c r="G138" i="8"/>
  <c r="E138"/>
  <c r="N70" i="20"/>
  <c r="N20"/>
  <c r="M20"/>
  <c r="J69"/>
  <c r="I19"/>
  <c r="I75"/>
  <c r="H25"/>
  <c r="P19"/>
  <c r="P75"/>
  <c r="K147" i="8"/>
  <c r="M8" i="20"/>
  <c r="N8"/>
  <c r="AS17" i="17"/>
  <c r="AU17"/>
  <c r="AI18"/>
  <c r="J138" i="8"/>
  <c r="R14" i="20"/>
  <c r="S14"/>
  <c r="S18"/>
  <c r="O16" i="17"/>
  <c r="Q20"/>
  <c r="AI12"/>
  <c r="J139" i="8"/>
  <c r="AX11" i="17"/>
  <c r="AS11"/>
  <c r="AW15"/>
  <c r="AR15"/>
  <c r="AH16"/>
  <c r="I137" i="8"/>
  <c r="AX18" i="17"/>
  <c r="AZ17"/>
  <c r="AZ18"/>
  <c r="Q29" i="20"/>
  <c r="Z16" i="17"/>
  <c r="AA15"/>
  <c r="AA16"/>
  <c r="J80" i="8"/>
  <c r="E2" i="10"/>
  <c r="E1"/>
  <c r="AD20" i="17"/>
  <c r="AF19"/>
  <c r="AF20"/>
  <c r="N10"/>
  <c r="F72" i="8"/>
  <c r="Q12" i="17"/>
  <c r="AV10"/>
  <c r="K5" i="20"/>
  <c r="L5"/>
  <c r="T21" i="17"/>
  <c r="N22" i="23"/>
  <c r="BM9"/>
  <c r="BM5"/>
  <c r="BM4"/>
  <c r="BQ22"/>
  <c r="P26" i="20"/>
  <c r="AI19" i="17"/>
  <c r="R67" i="20"/>
  <c r="S67"/>
  <c r="H16" i="10"/>
  <c r="A74" i="17"/>
  <c r="E60" i="8"/>
  <c r="F60"/>
  <c r="V22" i="17"/>
  <c r="U18" i="20"/>
  <c r="AA13" i="17"/>
  <c r="AA14"/>
  <c r="H135" i="8"/>
  <c r="F138"/>
  <c r="G145"/>
  <c r="R20" i="20"/>
  <c r="Z11" i="17"/>
  <c r="R70" i="20"/>
  <c r="S70"/>
  <c r="I25"/>
  <c r="K69"/>
  <c r="Q69"/>
  <c r="J19"/>
  <c r="J25"/>
  <c r="J75"/>
  <c r="J99"/>
  <c r="X9" i="17"/>
  <c r="X10"/>
  <c r="X21"/>
  <c r="P25" i="20"/>
  <c r="I99"/>
  <c r="M5"/>
  <c r="R8"/>
  <c r="U13" i="17"/>
  <c r="R18" i="20"/>
  <c r="J145" i="8"/>
  <c r="AS18" i="17"/>
  <c r="AU18"/>
  <c r="AD15"/>
  <c r="S29" i="20"/>
  <c r="Q5"/>
  <c r="I144" i="8"/>
  <c r="AS12" i="17"/>
  <c r="K41" i="8"/>
  <c r="G23" i="4"/>
  <c r="G17"/>
  <c r="H24"/>
  <c r="AK20" i="17"/>
  <c r="G140" i="8"/>
  <c r="AC9" i="17"/>
  <c r="N9" i="23"/>
  <c r="R22"/>
  <c r="AK19" i="17"/>
  <c r="AW16"/>
  <c r="J146" i="8"/>
  <c r="AI20" i="17"/>
  <c r="J140" i="8"/>
  <c r="AX19" i="17"/>
  <c r="AS19"/>
  <c r="H56" i="8"/>
  <c r="BQ9" i="23"/>
  <c r="BQ5"/>
  <c r="BQ4"/>
  <c r="BR22"/>
  <c r="BR9"/>
  <c r="BR5"/>
  <c r="BR4"/>
  <c r="AR16" i="17"/>
  <c r="AX12"/>
  <c r="I16" i="10"/>
  <c r="G19" i="4"/>
  <c r="H17"/>
  <c r="G34"/>
  <c r="F8" i="10"/>
  <c r="F7"/>
  <c r="E145" i="8"/>
  <c r="H142"/>
  <c r="F145"/>
  <c r="S20" i="20"/>
  <c r="AA11" i="17"/>
  <c r="Z12"/>
  <c r="AJ11"/>
  <c r="L69" i="20"/>
  <c r="K19"/>
  <c r="K75"/>
  <c r="N5"/>
  <c r="P15" i="17"/>
  <c r="S8" i="20"/>
  <c r="V13" i="17"/>
  <c r="U14"/>
  <c r="V14"/>
  <c r="V21"/>
  <c r="V23"/>
  <c r="J147" i="8"/>
  <c r="R9" i="23"/>
  <c r="S22"/>
  <c r="AD16" i="17"/>
  <c r="AF15"/>
  <c r="AI15"/>
  <c r="AX20"/>
  <c r="AZ19"/>
  <c r="AZ20"/>
  <c r="AC10"/>
  <c r="AH9"/>
  <c r="E140" i="8"/>
  <c r="F140"/>
  <c r="G147"/>
  <c r="K40"/>
  <c r="G41"/>
  <c r="AS20" i="17"/>
  <c r="AU20"/>
  <c r="AU19"/>
  <c r="H23" i="4"/>
  <c r="BR2" i="23"/>
  <c r="BR1"/>
  <c r="O9" i="17"/>
  <c r="F9" i="10"/>
  <c r="H34" i="4"/>
  <c r="G8" i="10"/>
  <c r="G7"/>
  <c r="AA12" i="17"/>
  <c r="AK11"/>
  <c r="AK12"/>
  <c r="G139" i="8"/>
  <c r="AY11" i="17"/>
  <c r="AJ12"/>
  <c r="K139" i="8"/>
  <c r="AT11" i="17"/>
  <c r="K25" i="20"/>
  <c r="Q19"/>
  <c r="M69"/>
  <c r="L19"/>
  <c r="L75"/>
  <c r="K99"/>
  <c r="Q99"/>
  <c r="Q75"/>
  <c r="R5"/>
  <c r="P16" i="17"/>
  <c r="AJ15"/>
  <c r="Q15"/>
  <c r="Q16"/>
  <c r="U21"/>
  <c r="Q26" i="20"/>
  <c r="S26"/>
  <c r="K80" i="8"/>
  <c r="F2" i="10"/>
  <c r="G40" i="8"/>
  <c r="E41"/>
  <c r="D67" i="17"/>
  <c r="D68"/>
  <c r="S9" i="23"/>
  <c r="E147" i="8"/>
  <c r="F147"/>
  <c r="AW9" i="17"/>
  <c r="AR9"/>
  <c r="AH10"/>
  <c r="AF16"/>
  <c r="O10"/>
  <c r="AX15"/>
  <c r="AI16"/>
  <c r="AS15"/>
  <c r="F1" i="10"/>
  <c r="G9"/>
  <c r="AT12" i="17"/>
  <c r="AU12"/>
  <c r="AU11"/>
  <c r="F139" i="8"/>
  <c r="G146"/>
  <c r="E139"/>
  <c r="AY12" i="17"/>
  <c r="AZ11"/>
  <c r="AZ12"/>
  <c r="K146" i="8"/>
  <c r="L99" i="20"/>
  <c r="Y9" i="17"/>
  <c r="Q25" i="20"/>
  <c r="L25"/>
  <c r="N69"/>
  <c r="M19"/>
  <c r="M25"/>
  <c r="M75"/>
  <c r="M99"/>
  <c r="AK15" i="17"/>
  <c r="AK16"/>
  <c r="G137" i="8"/>
  <c r="E137"/>
  <c r="P9" i="17"/>
  <c r="S5" i="20"/>
  <c r="AY15" i="17"/>
  <c r="AY16"/>
  <c r="AJ16"/>
  <c r="AT15"/>
  <c r="AT16"/>
  <c r="AD9"/>
  <c r="AS16"/>
  <c r="AW10"/>
  <c r="G80" i="8"/>
  <c r="G2" i="10"/>
  <c r="H18" i="4"/>
  <c r="H19"/>
  <c r="AR10" i="17"/>
  <c r="E40" i="8"/>
  <c r="AX16" i="17"/>
  <c r="I135" i="8"/>
  <c r="I55"/>
  <c r="F41"/>
  <c r="J137"/>
  <c r="G1" i="10"/>
  <c r="E146" i="8"/>
  <c r="F146"/>
  <c r="AI9" i="17"/>
  <c r="AI10"/>
  <c r="J135" i="8"/>
  <c r="N19" i="20"/>
  <c r="N25"/>
  <c r="N75"/>
  <c r="R69"/>
  <c r="S69"/>
  <c r="Y10" i="17"/>
  <c r="Y21"/>
  <c r="AZ15"/>
  <c r="AZ16"/>
  <c r="F137" i="8"/>
  <c r="AU15" i="17"/>
  <c r="G144" i="8"/>
  <c r="F144"/>
  <c r="P10" i="17"/>
  <c r="Q9"/>
  <c r="Q10"/>
  <c r="K137" i="8"/>
  <c r="AD10" i="17"/>
  <c r="AF9"/>
  <c r="AF10"/>
  <c r="F40" i="8"/>
  <c r="E80"/>
  <c r="I56"/>
  <c r="AU16" i="17"/>
  <c r="H20" i="4"/>
  <c r="J144" i="8"/>
  <c r="I142"/>
  <c r="J55"/>
  <c r="AS9" i="17"/>
  <c r="AS10"/>
  <c r="J56" i="8"/>
  <c r="AX9" i="17"/>
  <c r="AX10"/>
  <c r="N99" i="20"/>
  <c r="R99"/>
  <c r="S99"/>
  <c r="R75"/>
  <c r="S75"/>
  <c r="R19"/>
  <c r="E144" i="8"/>
  <c r="K144"/>
  <c r="J142"/>
  <c r="F80"/>
  <c r="I19" i="4"/>
  <c r="J19"/>
  <c r="T76" i="20"/>
  <c r="R217" i="29"/>
  <c r="R25" i="20"/>
  <c r="Z9" i="17"/>
  <c r="S19" i="20"/>
  <c r="S25"/>
  <c r="AA22" i="17"/>
  <c r="U25" i="20"/>
  <c r="Z10" i="17"/>
  <c r="Z21"/>
  <c r="AJ9"/>
  <c r="AA9"/>
  <c r="AA10"/>
  <c r="AA21"/>
  <c r="AA23"/>
  <c r="AK9"/>
  <c r="AK10"/>
  <c r="G135" i="8"/>
  <c r="AJ10" i="17"/>
  <c r="AY9"/>
  <c r="AT9"/>
  <c r="K55" i="8"/>
  <c r="K135"/>
  <c r="AT10" i="17"/>
  <c r="AU9"/>
  <c r="E135" i="8"/>
  <c r="G142"/>
  <c r="F135"/>
  <c r="AY10" i="17"/>
  <c r="AZ9"/>
  <c r="AZ10"/>
  <c r="K142" i="8"/>
  <c r="E142"/>
  <c r="F142"/>
  <c r="K56"/>
  <c r="AU10" i="17"/>
  <c r="G55" i="8"/>
  <c r="B24" i="30"/>
  <c r="E55" i="8"/>
  <c r="G56"/>
  <c r="N20" i="30"/>
  <c r="Q20"/>
  <c r="O12" i="29"/>
  <c r="F55" i="8"/>
  <c r="E56"/>
  <c r="Q18" i="30"/>
  <c r="N18"/>
  <c r="J226" i="29"/>
  <c r="O20" i="30"/>
  <c r="F56" i="8"/>
  <c r="AA103" i="21"/>
  <c r="AQ103"/>
  <c r="AA94"/>
  <c r="N84" i="29"/>
  <c r="AA92" i="21"/>
  <c r="AQ92"/>
  <c r="AA91"/>
  <c r="AQ91"/>
  <c r="AB94"/>
  <c r="AF94"/>
  <c r="AC94"/>
  <c r="AD94"/>
  <c r="Q84" i="29"/>
  <c r="R84"/>
  <c r="AB103" i="21"/>
  <c r="AF103"/>
  <c r="AC103"/>
  <c r="AD103"/>
  <c r="Q93" i="29"/>
  <c r="R93"/>
  <c r="AB92" i="21"/>
  <c r="AQ94"/>
  <c r="AQ105"/>
  <c r="AQ119"/>
  <c r="AQ393"/>
  <c r="N93" i="29"/>
  <c r="N82"/>
  <c r="AA105" i="21"/>
  <c r="N81" i="29"/>
  <c r="AB91" i="21"/>
  <c r="AQ418"/>
  <c r="AQ424"/>
  <c r="AQ400"/>
  <c r="AQ415"/>
  <c r="AA119"/>
  <c r="AA393"/>
  <c r="AF92"/>
  <c r="O93" i="29"/>
  <c r="P93"/>
  <c r="T93"/>
  <c r="N95"/>
  <c r="N109"/>
  <c r="O82"/>
  <c r="P82"/>
  <c r="O84"/>
  <c r="P84"/>
  <c r="T84"/>
  <c r="AB105" i="21"/>
  <c r="AF91"/>
  <c r="O81" i="29"/>
  <c r="AF105" i="21"/>
  <c r="AF119"/>
  <c r="AF393"/>
  <c r="AB119"/>
  <c r="AB393"/>
  <c r="AC92"/>
  <c r="S93" i="29"/>
  <c r="S84"/>
  <c r="AC91" i="21"/>
  <c r="P81" i="29"/>
  <c r="P95"/>
  <c r="O95"/>
  <c r="AC105" i="21"/>
  <c r="AC119"/>
  <c r="AC393"/>
  <c r="AB400"/>
  <c r="AB415"/>
  <c r="AF400"/>
  <c r="AB418"/>
  <c r="AB424"/>
  <c r="AD92"/>
  <c r="P109" i="29"/>
  <c r="P210"/>
  <c r="P214"/>
  <c r="O210"/>
  <c r="O109"/>
  <c r="M24" i="30"/>
  <c r="O225" i="29"/>
  <c r="O215"/>
  <c r="AD91" i="21"/>
  <c r="AD105"/>
  <c r="AD119"/>
  <c r="AD393"/>
  <c r="AC400"/>
  <c r="AF418"/>
  <c r="AF424"/>
  <c r="Q82" i="29"/>
  <c r="AF415" i="21"/>
  <c r="N43" i="30"/>
  <c r="O214" i="29"/>
  <c r="O216"/>
  <c r="C7" i="20"/>
  <c r="Q81" i="29"/>
  <c r="M42" i="30"/>
  <c r="N24"/>
  <c r="AC418" i="21"/>
  <c r="AC424"/>
  <c r="Q215" i="29"/>
  <c r="R82"/>
  <c r="T82"/>
  <c r="S82"/>
  <c r="AC415" i="21"/>
  <c r="O226" i="29"/>
  <c r="R81"/>
  <c r="S81"/>
  <c r="Q95"/>
  <c r="N42" i="30"/>
  <c r="N44"/>
  <c r="O24"/>
  <c r="O42"/>
  <c r="O44"/>
  <c r="C11" i="20"/>
  <c r="C93"/>
  <c r="D7"/>
  <c r="P13" i="29"/>
  <c r="M43" i="30"/>
  <c r="M44"/>
  <c r="O227" i="29"/>
  <c r="P227"/>
  <c r="AD418" i="21"/>
  <c r="AD424"/>
  <c r="AD400"/>
  <c r="AD415"/>
  <c r="S95" i="29"/>
  <c r="S210"/>
  <c r="T81"/>
  <c r="T95"/>
  <c r="R95"/>
  <c r="E7" i="20"/>
  <c r="O7"/>
  <c r="D11"/>
  <c r="D93"/>
  <c r="Q210" i="29"/>
  <c r="Q214"/>
  <c r="Q109"/>
  <c r="P24" i="30"/>
  <c r="P215" i="29"/>
  <c r="P225"/>
  <c r="P226"/>
  <c r="P216"/>
  <c r="T11" i="20"/>
  <c r="S109" i="29"/>
  <c r="P42" i="30"/>
  <c r="Q24"/>
  <c r="Q42"/>
  <c r="M13" i="17"/>
  <c r="T109" i="29"/>
  <c r="T210"/>
  <c r="T214"/>
  <c r="P43" i="30"/>
  <c r="R14"/>
  <c r="R15"/>
  <c r="Q227" i="29"/>
  <c r="Q216"/>
  <c r="S214"/>
  <c r="C28" i="20"/>
  <c r="C32"/>
  <c r="R109" i="29"/>
  <c r="R210"/>
  <c r="R214"/>
  <c r="Q43" i="30"/>
  <c r="E11" i="20"/>
  <c r="E93"/>
  <c r="O93"/>
  <c r="F7"/>
  <c r="C33"/>
  <c r="C34"/>
  <c r="C94"/>
  <c r="O11"/>
  <c r="G7"/>
  <c r="F11"/>
  <c r="F93"/>
  <c r="P44" i="30"/>
  <c r="R13"/>
  <c r="R12"/>
  <c r="R11"/>
  <c r="R10"/>
  <c r="D28" i="20"/>
  <c r="Q225" i="29"/>
  <c r="Q226"/>
  <c r="R227"/>
  <c r="M14" i="17"/>
  <c r="M21"/>
  <c r="Q44" i="30"/>
  <c r="C102" i="20"/>
  <c r="T6" i="23"/>
  <c r="R225" i="29"/>
  <c r="R226"/>
  <c r="R215"/>
  <c r="D32" i="20"/>
  <c r="E28"/>
  <c r="G11"/>
  <c r="G93"/>
  <c r="H7"/>
  <c r="C35"/>
  <c r="C103"/>
  <c r="D33"/>
  <c r="D34"/>
  <c r="D94"/>
  <c r="R218" i="29"/>
  <c r="R219"/>
  <c r="R216"/>
  <c r="T33" i="20"/>
  <c r="C6" i="23"/>
  <c r="H11" i="20"/>
  <c r="H93"/>
  <c r="P93"/>
  <c r="I7"/>
  <c r="P7"/>
  <c r="T7" i="23"/>
  <c r="T5"/>
  <c r="T4"/>
  <c r="F28" i="20"/>
  <c r="E32"/>
  <c r="O28"/>
  <c r="U7" i="23"/>
  <c r="D7"/>
  <c r="D103" i="20"/>
  <c r="C104"/>
  <c r="D102"/>
  <c r="U6" i="23"/>
  <c r="D6"/>
  <c r="E33" i="20"/>
  <c r="E94"/>
  <c r="O94"/>
  <c r="D35"/>
  <c r="N13" i="17"/>
  <c r="G28" i="20"/>
  <c r="F32"/>
  <c r="J7"/>
  <c r="I11"/>
  <c r="I93"/>
  <c r="O32"/>
  <c r="AB13" i="17"/>
  <c r="C7" i="23"/>
  <c r="C5"/>
  <c r="C4"/>
  <c r="P11" i="20"/>
  <c r="O33"/>
  <c r="AG24" i="17"/>
  <c r="E34" i="20"/>
  <c r="O34"/>
  <c r="D104"/>
  <c r="D5" i="23"/>
  <c r="D4"/>
  <c r="U5"/>
  <c r="U4"/>
  <c r="F33" i="20"/>
  <c r="F34"/>
  <c r="F94"/>
  <c r="E102"/>
  <c r="O102"/>
  <c r="V6" i="23"/>
  <c r="AF6"/>
  <c r="AB14" i="17"/>
  <c r="AB21"/>
  <c r="AG13"/>
  <c r="K7" i="20"/>
  <c r="J11"/>
  <c r="J93"/>
  <c r="G32"/>
  <c r="H28"/>
  <c r="N14" i="17"/>
  <c r="N21"/>
  <c r="F35" i="20"/>
  <c r="F103"/>
  <c r="E35"/>
  <c r="O35"/>
  <c r="E102" i="17"/>
  <c r="E103"/>
  <c r="E103" i="20"/>
  <c r="O103"/>
  <c r="V7" i="23"/>
  <c r="E7"/>
  <c r="O7"/>
  <c r="AQ23" i="17"/>
  <c r="G33" i="20"/>
  <c r="G34"/>
  <c r="G94"/>
  <c r="W6" i="23"/>
  <c r="F6"/>
  <c r="F102" i="20"/>
  <c r="E6" i="23"/>
  <c r="O6"/>
  <c r="O5"/>
  <c r="AV13" i="17"/>
  <c r="AG14"/>
  <c r="AQ13"/>
  <c r="K11" i="20"/>
  <c r="K93"/>
  <c r="Q93"/>
  <c r="L7"/>
  <c r="Q7"/>
  <c r="H32"/>
  <c r="I28"/>
  <c r="P28"/>
  <c r="W7" i="23"/>
  <c r="V5"/>
  <c r="V4"/>
  <c r="F104" i="20"/>
  <c r="X7" i="23"/>
  <c r="G7"/>
  <c r="G103" i="20"/>
  <c r="E104"/>
  <c r="O104"/>
  <c r="AF7" i="23"/>
  <c r="AF5"/>
  <c r="AF4"/>
  <c r="G102" i="20"/>
  <c r="H33"/>
  <c r="H94"/>
  <c r="P94"/>
  <c r="X6" i="23"/>
  <c r="G6"/>
  <c r="E5"/>
  <c r="E4"/>
  <c r="G35" i="20"/>
  <c r="Q11"/>
  <c r="AV14" i="17"/>
  <c r="F7" i="23"/>
  <c r="F5"/>
  <c r="F4"/>
  <c r="J28" i="20"/>
  <c r="I32"/>
  <c r="M7"/>
  <c r="L11"/>
  <c r="L93"/>
  <c r="AG21" i="17"/>
  <c r="H136" i="8"/>
  <c r="H52"/>
  <c r="O4" i="23"/>
  <c r="AC13" i="17"/>
  <c r="P32" i="20"/>
  <c r="O13" i="17"/>
  <c r="AQ14"/>
  <c r="W5" i="23"/>
  <c r="W4"/>
  <c r="H53" i="8"/>
  <c r="H81"/>
  <c r="P33" i="20"/>
  <c r="AH24" i="17"/>
  <c r="H34" i="20"/>
  <c r="Y7" i="23"/>
  <c r="Y6"/>
  <c r="Y5"/>
  <c r="Y4"/>
  <c r="AG6"/>
  <c r="G104" i="20"/>
  <c r="X5" i="23"/>
  <c r="X4"/>
  <c r="G5"/>
  <c r="G4"/>
  <c r="H102" i="20"/>
  <c r="I33"/>
  <c r="I94"/>
  <c r="AQ21" i="17"/>
  <c r="AV21"/>
  <c r="H85" i="8"/>
  <c r="O14" i="17"/>
  <c r="O21"/>
  <c r="AC14"/>
  <c r="AC21"/>
  <c r="AH13"/>
  <c r="C12" i="10"/>
  <c r="M11" i="20"/>
  <c r="M93"/>
  <c r="N7"/>
  <c r="N11"/>
  <c r="N93"/>
  <c r="AG23" i="17"/>
  <c r="AG25"/>
  <c r="H143" i="8"/>
  <c r="H134"/>
  <c r="K28" i="20"/>
  <c r="J32"/>
  <c r="C13" i="10"/>
  <c r="C23"/>
  <c r="H6" i="23"/>
  <c r="P6"/>
  <c r="Z6"/>
  <c r="I6"/>
  <c r="I34" i="20"/>
  <c r="H103"/>
  <c r="P103"/>
  <c r="P34"/>
  <c r="R93"/>
  <c r="S93"/>
  <c r="H35"/>
  <c r="P35"/>
  <c r="F102" i="17"/>
  <c r="F103"/>
  <c r="P102" i="20"/>
  <c r="I102"/>
  <c r="J33"/>
  <c r="J34"/>
  <c r="J94"/>
  <c r="R11"/>
  <c r="R7"/>
  <c r="H87" i="8"/>
  <c r="H7" i="23"/>
  <c r="P7"/>
  <c r="AG7"/>
  <c r="AR13" i="17"/>
  <c r="AH14"/>
  <c r="AW13"/>
  <c r="C24" i="10"/>
  <c r="H82" i="8"/>
  <c r="D36" i="4"/>
  <c r="K32" i="20"/>
  <c r="L28"/>
  <c r="Q28"/>
  <c r="C25" i="10"/>
  <c r="AR23" i="17"/>
  <c r="AA6" i="23"/>
  <c r="J6"/>
  <c r="H104" i="20"/>
  <c r="P104"/>
  <c r="AA7" i="23"/>
  <c r="J7"/>
  <c r="J103" i="20"/>
  <c r="I35"/>
  <c r="I103"/>
  <c r="Z7" i="23"/>
  <c r="Z5"/>
  <c r="Z4"/>
  <c r="S11" i="20"/>
  <c r="K33"/>
  <c r="K94"/>
  <c r="Q94"/>
  <c r="J102"/>
  <c r="J104"/>
  <c r="Q32"/>
  <c r="AD13" i="17"/>
  <c r="AR14"/>
  <c r="P13"/>
  <c r="S7" i="20"/>
  <c r="J35"/>
  <c r="P5" i="23"/>
  <c r="P4"/>
  <c r="AH21" i="17"/>
  <c r="I136" i="8"/>
  <c r="I52"/>
  <c r="AW14" i="17"/>
  <c r="L32" i="20"/>
  <c r="M28"/>
  <c r="H5" i="23"/>
  <c r="H4"/>
  <c r="AG5"/>
  <c r="AG4"/>
  <c r="Q33" i="20"/>
  <c r="AI24" i="17"/>
  <c r="K34" i="20"/>
  <c r="Q34"/>
  <c r="J5" i="23"/>
  <c r="J4"/>
  <c r="AA5"/>
  <c r="AA4"/>
  <c r="I104" i="20"/>
  <c r="I7" i="23"/>
  <c r="I5"/>
  <c r="I4"/>
  <c r="K102" i="20"/>
  <c r="Q22" i="17"/>
  <c r="L33" i="20"/>
  <c r="L34"/>
  <c r="L94"/>
  <c r="AB6" i="23"/>
  <c r="AH6"/>
  <c r="U11" i="20"/>
  <c r="I134" i="8"/>
  <c r="I143"/>
  <c r="I85"/>
  <c r="AW21" i="17"/>
  <c r="P14"/>
  <c r="P21"/>
  <c r="Q13"/>
  <c r="I53" i="8"/>
  <c r="I81"/>
  <c r="AR21" i="17"/>
  <c r="M32" i="20"/>
  <c r="N28"/>
  <c r="D12" i="10"/>
  <c r="AH23" i="17"/>
  <c r="AH25"/>
  <c r="AD14"/>
  <c r="AD21"/>
  <c r="AI13"/>
  <c r="L35" i="20"/>
  <c r="L103"/>
  <c r="AB7" i="23"/>
  <c r="K7"/>
  <c r="Q7"/>
  <c r="K103" i="20"/>
  <c r="Q103"/>
  <c r="Q102"/>
  <c r="K35"/>
  <c r="Q35"/>
  <c r="G102" i="17"/>
  <c r="G103"/>
  <c r="K6" i="23"/>
  <c r="Q6"/>
  <c r="L102" i="20"/>
  <c r="AH7" i="23"/>
  <c r="AH5"/>
  <c r="AH4"/>
  <c r="AC6"/>
  <c r="L6"/>
  <c r="M33" i="20"/>
  <c r="M34"/>
  <c r="M94"/>
  <c r="AS23" i="17"/>
  <c r="AX13"/>
  <c r="AI14"/>
  <c r="AS13"/>
  <c r="Q14"/>
  <c r="Q21"/>
  <c r="Q23"/>
  <c r="N32" i="20"/>
  <c r="R28"/>
  <c r="I82" i="8"/>
  <c r="E36" i="4"/>
  <c r="D24" i="10"/>
  <c r="AC7" i="23"/>
  <c r="D13" i="10"/>
  <c r="D23"/>
  <c r="I87" i="8"/>
  <c r="D25" i="10"/>
  <c r="AC5" i="23"/>
  <c r="AC4"/>
  <c r="K104" i="20"/>
  <c r="Q104"/>
  <c r="L104"/>
  <c r="AB5" i="23"/>
  <c r="AB4"/>
  <c r="AD7"/>
  <c r="M7"/>
  <c r="M103" i="20"/>
  <c r="M102"/>
  <c r="K5" i="23"/>
  <c r="K4"/>
  <c r="N33" i="20"/>
  <c r="N94"/>
  <c r="R94"/>
  <c r="S94"/>
  <c r="AD6" i="23"/>
  <c r="AD5"/>
  <c r="AD4"/>
  <c r="AI21" i="17"/>
  <c r="J136" i="8"/>
  <c r="J52"/>
  <c r="AS14" i="17"/>
  <c r="L7" i="23"/>
  <c r="L5"/>
  <c r="L4"/>
  <c r="Q5"/>
  <c r="Q4"/>
  <c r="M35" i="20"/>
  <c r="R32"/>
  <c r="AE13" i="17"/>
  <c r="S28" i="20"/>
  <c r="S32"/>
  <c r="AX14" i="17"/>
  <c r="AE6" i="23"/>
  <c r="AI6"/>
  <c r="AJ6"/>
  <c r="N34" i="20"/>
  <c r="R34"/>
  <c r="S34"/>
  <c r="M104"/>
  <c r="R33"/>
  <c r="S33"/>
  <c r="T102"/>
  <c r="M6" i="23"/>
  <c r="M5"/>
  <c r="M4"/>
  <c r="N102" i="20"/>
  <c r="E12" i="10"/>
  <c r="J53" i="8"/>
  <c r="AS21" i="17"/>
  <c r="J85" i="8"/>
  <c r="AX21" i="17"/>
  <c r="AI23"/>
  <c r="AI25"/>
  <c r="AE14"/>
  <c r="AE21"/>
  <c r="AF13"/>
  <c r="AJ13"/>
  <c r="AF22"/>
  <c r="J134" i="8"/>
  <c r="J143"/>
  <c r="E13" i="10"/>
  <c r="E23"/>
  <c r="N6" i="23"/>
  <c r="R6"/>
  <c r="AJ24" i="17"/>
  <c r="N35" i="20"/>
  <c r="R35"/>
  <c r="AE7" i="23"/>
  <c r="N103" i="20"/>
  <c r="R103"/>
  <c r="S103"/>
  <c r="R102"/>
  <c r="S102"/>
  <c r="U102"/>
  <c r="AK24" i="17"/>
  <c r="U33" i="20"/>
  <c r="W33"/>
  <c r="AJ14" i="17"/>
  <c r="AY13"/>
  <c r="AT13"/>
  <c r="AT23"/>
  <c r="J87" i="8"/>
  <c r="AK22" i="17"/>
  <c r="AF14"/>
  <c r="AF21"/>
  <c r="AF23"/>
  <c r="AK13"/>
  <c r="AK14"/>
  <c r="J81" i="8"/>
  <c r="S35" i="20"/>
  <c r="H102" i="17"/>
  <c r="H103"/>
  <c r="N7" i="23"/>
  <c r="AE5"/>
  <c r="AE4"/>
  <c r="AI7"/>
  <c r="N104" i="20"/>
  <c r="R104"/>
  <c r="S104"/>
  <c r="AU23" i="17"/>
  <c r="T103" i="20"/>
  <c r="U103"/>
  <c r="K52" i="8"/>
  <c r="K136"/>
  <c r="AJ21" i="17"/>
  <c r="G136" i="8"/>
  <c r="AK21" i="17"/>
  <c r="AY14"/>
  <c r="AZ13"/>
  <c r="AZ14"/>
  <c r="AZ21"/>
  <c r="S6" i="23"/>
  <c r="AT14" i="17"/>
  <c r="AU13"/>
  <c r="J82" i="8"/>
  <c r="F36" i="4"/>
  <c r="E24" i="10"/>
  <c r="E25"/>
  <c r="T104" i="20"/>
  <c r="U104"/>
  <c r="D102" i="17"/>
  <c r="D103"/>
  <c r="R7" i="23"/>
  <c r="N5"/>
  <c r="N4"/>
  <c r="AJ7"/>
  <c r="AJ5"/>
  <c r="AJ4"/>
  <c r="AJ1"/>
  <c r="AI5"/>
  <c r="AI4"/>
  <c r="F12" i="10"/>
  <c r="G52" i="8"/>
  <c r="K85"/>
  <c r="AY21" i="17"/>
  <c r="K143" i="8"/>
  <c r="K134"/>
  <c r="AJ25" i="17"/>
  <c r="AJ23"/>
  <c r="AK23"/>
  <c r="AK25"/>
  <c r="AT21"/>
  <c r="AU21"/>
  <c r="K53" i="8"/>
  <c r="AU14" i="17"/>
  <c r="F136" i="8"/>
  <c r="G134"/>
  <c r="E136"/>
  <c r="G143"/>
  <c r="H12" i="10"/>
  <c r="AU24" i="17"/>
  <c r="T34" i="20"/>
  <c r="T35"/>
  <c r="S7" i="23"/>
  <c r="S5"/>
  <c r="S4"/>
  <c r="R5"/>
  <c r="R4"/>
  <c r="AU22" i="17"/>
  <c r="F13" i="10"/>
  <c r="F23"/>
  <c r="K87" i="8"/>
  <c r="G53"/>
  <c r="H13" i="10"/>
  <c r="G85" i="8"/>
  <c r="F134"/>
  <c r="G12" i="10"/>
  <c r="K81" i="8"/>
  <c r="G81"/>
  <c r="S2" i="23"/>
  <c r="E134" i="8"/>
  <c r="E143"/>
  <c r="F143"/>
  <c r="E52"/>
  <c r="G13" i="10"/>
  <c r="I13"/>
  <c r="G23"/>
  <c r="I12"/>
  <c r="H23"/>
  <c r="N12"/>
  <c r="O12"/>
  <c r="F52" i="8"/>
  <c r="F85"/>
  <c r="E85"/>
  <c r="K82"/>
  <c r="G36" i="4"/>
  <c r="F24" i="10"/>
  <c r="F25"/>
  <c r="G87" i="8"/>
  <c r="E53"/>
  <c r="I23" i="10"/>
  <c r="G24"/>
  <c r="G25"/>
  <c r="O13"/>
  <c r="O11"/>
  <c r="N13"/>
  <c r="N11"/>
  <c r="F87" i="8"/>
  <c r="E87"/>
  <c r="F53"/>
  <c r="G82"/>
  <c r="R2" i="23"/>
  <c r="E81" i="8"/>
  <c r="F81"/>
  <c r="D104" i="17"/>
  <c r="D105"/>
  <c r="E82" i="8"/>
  <c r="F82"/>
  <c r="J7" i="10"/>
  <c r="K7"/>
  <c r="J6"/>
  <c r="J19"/>
  <c r="K19"/>
  <c r="J13"/>
  <c r="K13"/>
  <c r="J15"/>
  <c r="K15"/>
  <c r="J20"/>
  <c r="K20"/>
  <c r="J18"/>
  <c r="K18"/>
  <c r="J12"/>
  <c r="J21"/>
  <c r="K21"/>
  <c r="J22"/>
  <c r="K22"/>
  <c r="K6"/>
  <c r="J8"/>
  <c r="J14"/>
  <c r="K14"/>
  <c r="K12"/>
  <c r="J17"/>
  <c r="K17"/>
  <c r="K8"/>
  <c r="K9"/>
  <c r="J9"/>
  <c r="J16"/>
  <c r="K16"/>
  <c r="K23"/>
  <c r="K25"/>
  <c r="J23"/>
  <c r="J24"/>
  <c r="J25"/>
</calcChain>
</file>

<file path=xl/comments1.xml><?xml version="1.0" encoding="utf-8"?>
<comments xmlns="http://schemas.openxmlformats.org/spreadsheetml/2006/main">
  <authors>
    <author>Автор</author>
  </authors>
  <commentList>
    <comment ref="E7" authorId="0">
      <text>
        <r>
          <rPr>
            <sz val="8"/>
            <color indexed="81"/>
            <rFont val="Tahoma"/>
            <family val="2"/>
            <charset val="204"/>
          </rPr>
          <t>у разі наявності персоналу однієї категорії з різною ставкою ЄСВ (22% або 8.41%)- персонал з пільговою ставкою ЄСВ (8.41%) зазначати в окремому стовпці</t>
        </r>
      </text>
    </comment>
    <comment ref="AL7" authorId="0">
      <text>
        <r>
          <rPr>
            <sz val="9"/>
            <color indexed="81"/>
            <rFont val="Tahoma"/>
            <family val="2"/>
            <charset val="204"/>
          </rPr>
          <t>не більше 417.30 за добу - 0,1 рoзміру мінімальної заробітної плати, вcтановленої зaконом на 1 січня пoдаткового (звітного) року, в розрахунку зa кoжeн кaлендарний день тaкого відpядження</t>
        </r>
      </text>
    </comment>
  </commentList>
</comments>
</file>

<file path=xl/sharedStrings.xml><?xml version="1.0" encoding="utf-8"?>
<sst xmlns="http://schemas.openxmlformats.org/spreadsheetml/2006/main" count="4827" uniqueCount="2143">
  <si>
    <t xml:space="preserve">Предмети , матеріали та інвентар </t>
  </si>
  <si>
    <t>Абразивні вироби</t>
  </si>
  <si>
    <t>14810000-2</t>
  </si>
  <si>
    <t>Обприскувальні апарати для використання у сільському господарстві та рослинництві</t>
  </si>
  <si>
    <t>16400000-9</t>
  </si>
  <si>
    <t>Частини для сільськогосподарської техніки</t>
  </si>
  <si>
    <t>16810000-6</t>
  </si>
  <si>
    <t>Частини для лісогосподарської техніки</t>
  </si>
  <si>
    <t>16820000-9</t>
  </si>
  <si>
    <t>Аксесуари до робочого одягу</t>
  </si>
  <si>
    <t>18140000-2</t>
  </si>
  <si>
    <t>Взуття різне,крім спортивного та захисного</t>
  </si>
  <si>
    <t>18810000-0</t>
  </si>
  <si>
    <t>Гумові вироби</t>
  </si>
  <si>
    <t>19510000-4</t>
  </si>
  <si>
    <t>Пластмасові вироби</t>
  </si>
  <si>
    <t>19520000-7</t>
  </si>
  <si>
    <t>Поліетиленові мішки та пакети для сміття</t>
  </si>
  <si>
    <t>19640000-4</t>
  </si>
  <si>
    <t>Марки</t>
  </si>
  <si>
    <t>22410000-7</t>
  </si>
  <si>
    <t>Періодичні спеціалізовані видання</t>
  </si>
  <si>
    <t>22211000-2</t>
  </si>
  <si>
    <t>Паперові чи картонні реєстраційні журнали</t>
  </si>
  <si>
    <t>22810000-1</t>
  </si>
  <si>
    <t>Бланки</t>
  </si>
  <si>
    <t>22820000-4</t>
  </si>
  <si>
    <t>Друкована продукція різна</t>
  </si>
  <si>
    <t>22900000-9</t>
  </si>
  <si>
    <t>Фоточутливі, термочутливі та термографічні папір та картон</t>
  </si>
  <si>
    <t xml:space="preserve">22993000-7 </t>
  </si>
  <si>
    <t>Барвники та пігменти</t>
  </si>
  <si>
    <t>24200000-6</t>
  </si>
  <si>
    <t>Оксиди, пероксиди та гідроксиди</t>
  </si>
  <si>
    <t>24210000-9</t>
  </si>
  <si>
    <t>Агрохімічна продукція</t>
  </si>
  <si>
    <t>24450000-3</t>
  </si>
  <si>
    <t>Клеї</t>
  </si>
  <si>
    <t>24910000-6</t>
  </si>
  <si>
    <t>Фотокопіювальне та поліграфічне обладнання для офсетного друку</t>
  </si>
  <si>
    <t xml:space="preserve">30120000-6 </t>
  </si>
  <si>
    <t>30190000-7</t>
  </si>
  <si>
    <t>Електрична аппаратура</t>
  </si>
  <si>
    <t>31210000-1</t>
  </si>
  <si>
    <t>Автоматичні вимикачі</t>
  </si>
  <si>
    <t xml:space="preserve">31211310-4 </t>
  </si>
  <si>
    <t>Електророзподільна та контрольна апаратура</t>
  </si>
  <si>
    <t xml:space="preserve">31200000-8 </t>
  </si>
  <si>
    <t>Комп'ютерне обладнання</t>
  </si>
  <si>
    <t>30230000-0</t>
  </si>
  <si>
    <t>Елементи електричних схем</t>
  </si>
  <si>
    <t>31220000-4</t>
  </si>
  <si>
    <t>Приладдя до ізльованих кабелів</t>
  </si>
  <si>
    <t>31340000-1</t>
  </si>
  <si>
    <t>Електричні лампи розжарення</t>
  </si>
  <si>
    <t>31510000-4</t>
  </si>
  <si>
    <t>Частини до світильників та освітлювального оладнання</t>
  </si>
  <si>
    <t>31530000-0</t>
  </si>
  <si>
    <t>Світильники та освітлювальна арматура</t>
  </si>
  <si>
    <t xml:space="preserve">31520000-7 </t>
  </si>
  <si>
    <t>Електричне приладдя та супутні товари до електричного обладнання</t>
  </si>
  <si>
    <t xml:space="preserve">31680000-6 </t>
  </si>
  <si>
    <t>Електроди</t>
  </si>
  <si>
    <t xml:space="preserve">31711140-6 </t>
  </si>
  <si>
    <t>Частини до аудіо- та відеообладнання</t>
  </si>
  <si>
    <t xml:space="preserve">32350000-1 </t>
  </si>
  <si>
    <t>Мікрофони та гучномовці</t>
  </si>
  <si>
    <t xml:space="preserve">32340000-8 </t>
  </si>
  <si>
    <t>Гальванічні елементи</t>
  </si>
  <si>
    <t>31410000-3</t>
  </si>
  <si>
    <t>Маршрутизатори</t>
  </si>
  <si>
    <t xml:space="preserve">32413100-2 </t>
  </si>
  <si>
    <t>Мережеве обладнання</t>
  </si>
  <si>
    <t xml:space="preserve">32420000-3 </t>
  </si>
  <si>
    <t>Туалетний папір, носові хустинки, рушники для рук і серветки: папір туалетний</t>
  </si>
  <si>
    <t>33760000-5</t>
  </si>
  <si>
    <t>Устаткування для операційних блоків</t>
  </si>
  <si>
    <t xml:space="preserve">33160000-9 </t>
  </si>
  <si>
    <t>Запасні частини до вантажних транспортних засобів, фургонів та легкових автомобілів: колодки тормозні, підшипник, фільтр масла, масло</t>
  </si>
  <si>
    <t>34330000-9</t>
  </si>
  <si>
    <t>Шини для транспортних засобів малої тоннажності</t>
  </si>
  <si>
    <t xml:space="preserve">34351000-2 </t>
  </si>
  <si>
    <t>Детектори та аналізатори</t>
  </si>
  <si>
    <t>38430000-8</t>
  </si>
  <si>
    <t>Шпалери та інші настінні покриття</t>
  </si>
  <si>
    <t>39190000-0</t>
  </si>
  <si>
    <t>Різальні інструменти</t>
  </si>
  <si>
    <t>39240000-6</t>
  </si>
  <si>
    <t>Кухонне приладдя, товари для дому та господарства і приладдя для закладів громадського харчування</t>
  </si>
  <si>
    <t>39220000-0</t>
  </si>
  <si>
    <t>39330000-4</t>
  </si>
  <si>
    <t>Штори,портьєри,кухонні штори та тканинні жалюзі</t>
  </si>
  <si>
    <t>39515000-5</t>
  </si>
  <si>
    <t>Електричні побутові прилади</t>
  </si>
  <si>
    <t>39710000-2</t>
  </si>
  <si>
    <t>Неелектричні побутові прилади</t>
  </si>
  <si>
    <t>39720000-5</t>
  </si>
  <si>
    <t>Герметики</t>
  </si>
  <si>
    <t>39812500-2</t>
  </si>
  <si>
    <t>Продукція для чищення</t>
  </si>
  <si>
    <t>39830000-9</t>
  </si>
  <si>
    <t xml:space="preserve">42968200-1 </t>
  </si>
  <si>
    <t>Арматура трубопровідна: крани, вентилі, клапани та подібні пристрої</t>
  </si>
  <si>
    <t>42130000-9</t>
  </si>
  <si>
    <t>Ручні інструменти пневматичні чи моторизовані</t>
  </si>
  <si>
    <t>42650000-7</t>
  </si>
  <si>
    <t>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</si>
  <si>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42660000-0</t>
  </si>
  <si>
    <t>Електричні інструменти</t>
  </si>
  <si>
    <t>43830000-0</t>
  </si>
  <si>
    <t>Конструкційні матеріали</t>
  </si>
  <si>
    <t>44110000-4</t>
  </si>
  <si>
    <t>Магістралі, трубопроводи, труби, обсадні труби, тюбінги та супутні вироби</t>
  </si>
  <si>
    <t>44160000-9</t>
  </si>
  <si>
    <t>Плити, листи, стрічки та фольга, пов’язані з конструкційними матеріалами</t>
  </si>
  <si>
    <t>44170000-2</t>
  </si>
  <si>
    <t>Цвяхи</t>
  </si>
  <si>
    <t>44192200-4</t>
  </si>
  <si>
    <t>Столярні вироби</t>
  </si>
  <si>
    <t xml:space="preserve">44220000-8 </t>
  </si>
  <si>
    <t>Вікна, двері та супутні вироби: двері вхідні ПВХ білі</t>
  </si>
  <si>
    <t>44221000-5</t>
  </si>
  <si>
    <t>Вироби з дроту</t>
  </si>
  <si>
    <t>44310000-6</t>
  </si>
  <si>
    <t>Кабелі та супутня продукція</t>
  </si>
  <si>
    <t xml:space="preserve">44320000-9 </t>
  </si>
  <si>
    <t>Вироби для ванної кімнати та кухні</t>
  </si>
  <si>
    <t xml:space="preserve">44410000-7 </t>
  </si>
  <si>
    <t>Знаряддя</t>
  </si>
  <si>
    <t>44510000-8</t>
  </si>
  <si>
    <t>Замки, ключі та петлі</t>
  </si>
  <si>
    <t xml:space="preserve">44520000-1 </t>
  </si>
  <si>
    <t>Кріпильні деталі</t>
  </si>
  <si>
    <t>44530000-4</t>
  </si>
  <si>
    <t>Фарби</t>
  </si>
  <si>
    <t xml:space="preserve">44810000-1 </t>
  </si>
  <si>
    <t>Мастики,шпаклівки,замазки та розчинники</t>
  </si>
  <si>
    <t>44830000-7</t>
  </si>
  <si>
    <t>Розчинники</t>
  </si>
  <si>
    <t xml:space="preserve">44832000-1 </t>
  </si>
  <si>
    <t>Вапняк, гіпс і крейда</t>
  </si>
  <si>
    <t>44920000-5</t>
  </si>
  <si>
    <t>Мастильні засоби</t>
  </si>
  <si>
    <t>09210000-4</t>
  </si>
  <si>
    <t>Нафта і дистиляти</t>
  </si>
  <si>
    <t>09130000-9</t>
  </si>
  <si>
    <t>Вироби домашнього текстилю</t>
  </si>
  <si>
    <t>39510000-0</t>
  </si>
  <si>
    <t>Дезінфекційне обладнання</t>
  </si>
  <si>
    <t>Диспенсери засобів гігієни</t>
  </si>
  <si>
    <t>Потреба на 2023 рік</t>
  </si>
  <si>
    <t>Ремонт ННМА (прикладне програмне забезпечення - ППЗ)</t>
  </si>
  <si>
    <t>Інші операційні витрати</t>
  </si>
  <si>
    <t>Інше ТО та обслуговування</t>
  </si>
  <si>
    <t xml:space="preserve">Інші послуги </t>
  </si>
  <si>
    <t>ЛІКАРСЬКІ ЗАСОБИ</t>
  </si>
  <si>
    <t>Офісне устаткування та приладдя різне + папір</t>
  </si>
  <si>
    <t>план/2022</t>
  </si>
  <si>
    <t>Дохід з місцевого бюджету</t>
  </si>
  <si>
    <t>Олександр МОРГУН</t>
  </si>
  <si>
    <t>Затверджено на 2023 рік</t>
  </si>
  <si>
    <t>Наталія СКРИПЧУК</t>
  </si>
  <si>
    <t xml:space="preserve">Медикаменти та перев'язувальні матеріали </t>
  </si>
  <si>
    <t>Додаток до програми підтримки та розвитку вторинної медичної допомоги на території Рожищенської територіальної громади на 2023 рік</t>
  </si>
  <si>
    <t>Dextran</t>
  </si>
  <si>
    <t>33600000-6 Фармацевтична продукція</t>
  </si>
  <si>
    <t xml:space="preserve">Азотна кислота хч </t>
  </si>
  <si>
    <t>фл.</t>
  </si>
  <si>
    <t>Набір реагентів для визначення активності аланінамінотрансферази в сироватці, крові, АЛаТ (Райтмана-Френкеля метод) НР001.01</t>
  </si>
  <si>
    <t>шт.</t>
  </si>
  <si>
    <t>Набір реагентів для визначення активності Спартатамінотрансферази в сироватці, крові, АСаТ (Райтмана-Френкеля метод) НР00.01</t>
  </si>
  <si>
    <t>Білірубін загальний і прямий- метод Ієндрашика НР005.01</t>
  </si>
  <si>
    <t>ГГТ  НР007.01</t>
  </si>
  <si>
    <t>Набір реактивів для визначення концентрації гемоглобіну 400 визначень</t>
  </si>
  <si>
    <t>Глюкоза (глюкозо- оксидазний метод) НР009.02</t>
  </si>
  <si>
    <t xml:space="preserve">Глюкотест № 100 </t>
  </si>
  <si>
    <t xml:space="preserve">Желатин розчин 10% </t>
  </si>
  <si>
    <t>амп.</t>
  </si>
  <si>
    <t>Креатинін НР014.01</t>
  </si>
  <si>
    <t>Загальний білок НР010.01</t>
  </si>
  <si>
    <t>Оцтова кислота чда</t>
  </si>
  <si>
    <t>л.</t>
  </si>
  <si>
    <t>Ревматоїдний фактор (РФ) латекс – тест 200 визначень</t>
  </si>
  <si>
    <t>Сечова кислота НР017.01</t>
  </si>
  <si>
    <t>Набір реагентів для визначення кількості сечовини в сироватці, плазмі крові та сечі СЕЧОВИНА Сімко</t>
  </si>
  <si>
    <t>уп</t>
  </si>
  <si>
    <t>С-реактивний білок (СРБ) латекс –тест 200 визначень</t>
  </si>
  <si>
    <t xml:space="preserve">Сульфосаліцилова кислота </t>
  </si>
  <si>
    <t>кг.</t>
  </si>
  <si>
    <t xml:space="preserve">Діагностичний моноклональний реагент Анти-D 10 мл групи крові за системою АВ0 </t>
  </si>
  <si>
    <t xml:space="preserve">Діагностичний моноклональний реагент Анти-А 10 мл визначення групи крові АВ0 </t>
  </si>
  <si>
    <t xml:space="preserve">Діагностичний моноклональний реагент Анти-В 10 мл групи крові за системою АВ0 </t>
  </si>
  <si>
    <t xml:space="preserve">Діагностичний моноклональний реагент Анти-С 10 мл групи крові за системою АВ0 </t>
  </si>
  <si>
    <t xml:space="preserve">Тромбопластин </t>
  </si>
  <si>
    <t>Фарбник-фіксатор Еозин- метиленовий синій по Май – Грюнвальду 1л з буфером</t>
  </si>
  <si>
    <t xml:space="preserve">Азур – еозин по Романовському </t>
  </si>
  <si>
    <t>Набір реактивів для визначення холестерину-ферментований метод НР026.02</t>
  </si>
  <si>
    <t>М-30CFL LYSE 500 мл.</t>
  </si>
  <si>
    <t>M-30P PROBE CLEANSER      17 мл.</t>
  </si>
  <si>
    <t>M-30D DILUENT 20 л.</t>
  </si>
  <si>
    <t>кан.</t>
  </si>
  <si>
    <t>Контроль на кров  для гематологічних досліджень 3 мл.</t>
  </si>
  <si>
    <t>Ацетон- тест №25</t>
  </si>
  <si>
    <t>Натрій лимоно –кислий</t>
  </si>
  <si>
    <t>Тимолова проба НР021.01</t>
  </si>
  <si>
    <t>Серомукоїди НР019.01</t>
  </si>
  <si>
    <t>Азопірамова проба</t>
  </si>
  <si>
    <t>pH-тест № 50</t>
  </si>
  <si>
    <t>24320000-3: Основні органічні хімічні речовини</t>
  </si>
  <si>
    <t>Лікарський засіб: Спирт етиловий</t>
  </si>
  <si>
    <t>Найменування</t>
  </si>
  <si>
    <t>Спирт 96 % «Біосепт» 100мл.</t>
  </si>
  <si>
    <t>24455000-8 Дезинфекційні засоби</t>
  </si>
  <si>
    <t>АХД 2000 експрес  250мл.з тригером</t>
  </si>
  <si>
    <t>АХД 2000 експрес 1л.з дозуючим пристроєм</t>
  </si>
  <si>
    <t>АХД 2000 експрес 5л.</t>
  </si>
  <si>
    <t>Аеродезин250мл з двофункційним тригером</t>
  </si>
  <si>
    <t>Аеродезин 5л.</t>
  </si>
  <si>
    <t>Мікрасепт 250мл</t>
  </si>
  <si>
    <t>Мікрасепт 5л</t>
  </si>
  <si>
    <t>Бланідас Актив 5л</t>
  </si>
  <si>
    <t>Засіб для дезінфекції рук «Бланідассофтдез» 5л</t>
  </si>
  <si>
    <t>Аніозим 5л</t>
  </si>
  <si>
    <t>Лізоформін3000 1л</t>
  </si>
  <si>
    <t xml:space="preserve">Бланідаз 300 табл.№ 300 </t>
  </si>
  <si>
    <t>Госпісепттабл.№300</t>
  </si>
  <si>
    <t>Сурфахлор табл. №300</t>
  </si>
  <si>
    <t>Бланідас Актив Ензим 5л</t>
  </si>
  <si>
    <t>Віпасепт 1л</t>
  </si>
  <si>
    <t>Віпасепт 5л</t>
  </si>
  <si>
    <t>Корзолекс 5л</t>
  </si>
  <si>
    <t>Пероксид водню 32,5% 5л</t>
  </si>
  <si>
    <t>уп.</t>
  </si>
  <si>
    <t>33690000-3 «Лікарські засоби різні» - Лабораторні реактиви</t>
  </si>
  <si>
    <t xml:space="preserve">33600000-6 Фармацевтична продукція </t>
  </si>
  <si>
    <t>Ціна з ПДВ</t>
  </si>
  <si>
    <t xml:space="preserve">Сума </t>
  </si>
  <si>
    <t>Ліана ГУБАРЄВА</t>
  </si>
  <si>
    <t>Бинт 5*10см.н/с.</t>
  </si>
  <si>
    <t>Бинт 7*14см.н/ст.</t>
  </si>
  <si>
    <t>Бинт 7*14см стер.</t>
  </si>
  <si>
    <t>Відріз марлевий медичний нестерильний 1000см*90см н/ст</t>
  </si>
  <si>
    <t>Вата нестерильна  медична гігієнічна зиг-заг100г н/ст.</t>
  </si>
  <si>
    <t>Серветки марл. з петлею ст. 90х45 з рентген.нит 4 шар. №2</t>
  </si>
  <si>
    <t>Смуги індикаторні «Стерилан» 180/60(100шт)</t>
  </si>
  <si>
    <t>Смуги індикаторні «Стерилан» 132/20(100шт)</t>
  </si>
  <si>
    <t>Смуги індикаторні «Стерилан» 120/45(100шт)</t>
  </si>
  <si>
    <t>Рулон поліамідний для стерилізації сухим жаром STERIKING 50мм*200м(HR39)</t>
  </si>
  <si>
    <t>Рулон поліамідний для стерилізації сухим жаром STERIKING 100мм*200м(HR41)</t>
  </si>
  <si>
    <t>Рулон поліамідний для стерилізації сухим жаром STERIKING 150мм*200м(HR42)</t>
  </si>
  <si>
    <t>Рулон поліамідний для стерилізації сухим жаром STERIKING 200мм*200м(HR43)</t>
  </si>
  <si>
    <t>Рулон плоский R41-3P 100мм*200м STERIKING</t>
  </si>
  <si>
    <t>Рулон плоский R42-3P 150мм*200м STERIKING</t>
  </si>
  <si>
    <t>Рулон плоский R43-3P 200мм*200м STERIKING</t>
  </si>
  <si>
    <t>Катетер внутрішньовенний з крильцями та ін’єкційним портом, розмір 18G</t>
  </si>
  <si>
    <t>Катетер внутрішньовенний з крильцями та ін’єкційним портом, розмір 20G</t>
  </si>
  <si>
    <t>Катетер внутрішньовенний з крильцями та ін’єкційним портом, розмір 22G</t>
  </si>
  <si>
    <t>Клейонка медична в рулонах по 50м</t>
  </si>
  <si>
    <t>Лейкопластир 1*500</t>
  </si>
  <si>
    <t>Лейкопластир 2.5*500 н/ткана основа</t>
  </si>
  <si>
    <t>Рукавиці стер. хір. р.7</t>
  </si>
  <si>
    <t>Рукавиці стер. хір. р.7,5</t>
  </si>
  <si>
    <t>Рукавиці стер. хір. р.8</t>
  </si>
  <si>
    <t>Система ПК</t>
  </si>
  <si>
    <t>Система ПР</t>
  </si>
  <si>
    <t>Скарифікатори одноразовий стерильний №200</t>
  </si>
  <si>
    <t>Ланцет неонатальний 1,2мм №200</t>
  </si>
  <si>
    <t>Штатив до ШОЕ-метру (капілярам Панченкова)</t>
  </si>
  <si>
    <t>Капіляр Панченкова ШОЕ-метру</t>
  </si>
  <si>
    <t>Шприц 1,0мл</t>
  </si>
  <si>
    <t>Шприц 2,0 мл</t>
  </si>
  <si>
    <t>Шприц 5,0 мл</t>
  </si>
  <si>
    <t>Шприц 10,0 мл</t>
  </si>
  <si>
    <t>Шприц 20,0 мл</t>
  </si>
  <si>
    <t>Шприц 100,0 мл (з довгою канюлею)</t>
  </si>
  <si>
    <t>Шприц 120,0 мл з голкою</t>
  </si>
  <si>
    <t>Зонд шлунковий № 16</t>
  </si>
  <si>
    <t>Зонд шлунковий № 18</t>
  </si>
  <si>
    <t>Зонд шлунковий № 20</t>
  </si>
  <si>
    <t>Зонд шлунковий №21</t>
  </si>
  <si>
    <t>Катетер Фолея №16 (2-ох ходовий)</t>
  </si>
  <si>
    <t>Катетер Фолея №18 (2-ох ходовий)</t>
  </si>
  <si>
    <t>Катетер Фолея №20 (2-ох ходовий)</t>
  </si>
  <si>
    <t>Катетер Фолея №16 (3-ох ходовий)</t>
  </si>
  <si>
    <t>Катетер Фолея №18 (3-ох ходовий)</t>
  </si>
  <si>
    <t>Катетер Фолея №20 (3-ох ходовий)</t>
  </si>
  <si>
    <t>Ручка до леза металева</t>
  </si>
  <si>
    <t>Стомічний калоприймач «CASEX» розмір вирізу 13-80 мм (однокомпонентний, відкритий, непрозорий, з екстрактом Aloe Vera) 15 шт.</t>
  </si>
  <si>
    <t>Комплект для епідуральної анестезії</t>
  </si>
  <si>
    <t>Нарукавник на апарат l=250 см, d=15 см, вологонепроникний, 1 шт.</t>
  </si>
  <si>
    <t>Дренаж торакальний</t>
  </si>
  <si>
    <t>Троакарний набір для катетеризації сечового міхура стер.</t>
  </si>
  <si>
    <t>Нитка капрон поліамід. (М3) 250м.</t>
  </si>
  <si>
    <t>Нитка капрон поліамід. (М4) 130м.</t>
  </si>
  <si>
    <t>Нитка капрон поліамід. (М5) 80м.</t>
  </si>
  <si>
    <t>Кетгут звич. без гоки стер. розмір №4  150см</t>
  </si>
  <si>
    <t>VICRYL 40мм. З круг.гол.90см.(1)</t>
  </si>
  <si>
    <t>Нитка хірургічна стерильна,  USP1 (М4), ПОЛІПРОПІЛЕН, монофіламентна, синя, відрізок 1,5м</t>
  </si>
  <si>
    <t>Нитка хірургічна стерильна,  USP2/0 (М3), ПОЛІПРОПІЛЕН, монофіламентна, синя, відрізок 1,5м</t>
  </si>
  <si>
    <t>Нитка хірургічна стерильна,  USP3/0 (М2), ПОЛІПРОПІЛЕН, монофіламентна, синя, відрізок 1,5м</t>
  </si>
  <si>
    <t>Нитка хірургічна стерильна,  USP2 (М5), ПОЛІПРОПІЛЕН, монофіламентна, синя, відрізок 1,5м</t>
  </si>
  <si>
    <t>Повязка гідрогелева з метилурацилом 2 мм, 6*10, стерильна</t>
  </si>
  <si>
    <t>Голка хірургічна G, з пружинним вушком, з трикутним кінчиком SURGIWELOMED, 1/2 окружність, № 9 4В1-1,0*40</t>
  </si>
  <si>
    <t>Голка хірургічна G, з пружинним вушком, з трикутним кінчиком SURGIWELOMED, 1/2 окружність, № 10 4В1-0,9*36</t>
  </si>
  <si>
    <t>Голка хірургічна Gr, з пружинним вушком, з круглим кінчиком SURGIWELOMED, 1/2 окружність, № 9 4А1-1,0*40</t>
  </si>
  <si>
    <t>Голка для спинальної анестезії 22 G</t>
  </si>
  <si>
    <t>Голка для спинальної анестезії 23 G</t>
  </si>
  <si>
    <t>Голка для спинальної анестезії 25 G</t>
  </si>
  <si>
    <t>Голка для спинальної анестезії 27 G</t>
  </si>
  <si>
    <t>Голки атравматичні з ниткою поліпропілен 2/0(3) 0,75м  1/ 2  26мм</t>
  </si>
  <si>
    <t>Голки атравматичні з ниткою поліпропілен 3/0(2) 0,75м  1/ 2  26мм</t>
  </si>
  <si>
    <t>Зажим для пуповини</t>
  </si>
  <si>
    <t>Зонд Блекмора</t>
  </si>
  <si>
    <t>Катетер для відсмоктування слизу у новонароджених № 8</t>
  </si>
  <si>
    <t>Комплект одягу та покриттів операційний акушерський № 20 стерильний</t>
  </si>
  <si>
    <t>Комплект одягу та покриттів операційний для кесаревого розтину № 1 стерильний</t>
  </si>
  <si>
    <t>Набір гінекологічний оглядовий №10</t>
  </si>
  <si>
    <t>Щіточка гінекологічна цервікальна</t>
  </si>
  <si>
    <t>Наконечник кружки Есмарха Fr18 д.6,0 мм</t>
  </si>
  <si>
    <t>Наконечник кружки Есмарха Fr124 д.8,0 мм</t>
  </si>
  <si>
    <t>Сечоприймач одноразовий Т – кран 2,0л.</t>
  </si>
  <si>
    <t>Катетер типу Нелатон №14</t>
  </si>
  <si>
    <t>Фартух медичний стерильний</t>
  </si>
  <si>
    <t>Халат хірургічний стерильний одноразовий дорослий ХХL</t>
  </si>
  <si>
    <t>Халат хірургічний стерильний одноразовий дорослий XL</t>
  </si>
  <si>
    <t>Халат хірургічний стерильний одноразовий дорослий L</t>
  </si>
  <si>
    <t>Халат хірургічний стерильний одноразовий дорослий M</t>
  </si>
  <si>
    <t>Халат хірургічний стерильний одноразовий дорослий S</t>
  </si>
  <si>
    <t>Халат хірургічний одноразовий стерильний ламінована вставка L</t>
  </si>
  <si>
    <t>Шапочка одноразова медична</t>
  </si>
  <si>
    <t>Бахіли медичні</t>
  </si>
  <si>
    <t>Пелюшка поглинаюча 90*60см №30</t>
  </si>
  <si>
    <t>Пелюшка поглинаюча 60*60см  №30</t>
  </si>
  <si>
    <t>Підгузки для дорослих L №18</t>
  </si>
  <si>
    <t>Бинт гіпсовий 10см*2,7м</t>
  </si>
  <si>
    <t>Бинт гіпсовий 15см*2,7м</t>
  </si>
  <si>
    <t>Бинт гіпсовий 20см*2,7м</t>
  </si>
  <si>
    <t>Дренаж торакальний (плевральний) на металевому Стилет-троакар діаметр 8 (CH24)</t>
  </si>
  <si>
    <t>Дренаж торакальний (плевральний) на металевому Стилет-троакар діаметр 10 (CH30)</t>
  </si>
  <si>
    <t>Скоби до ОКЛ</t>
  </si>
  <si>
    <t>Степлер для шкіри</t>
  </si>
  <si>
    <t>Еластичний трубчасто-сітчастий бинт (сітка) №6, розмiр 5,8см x 50 cм</t>
  </si>
  <si>
    <t>Ложка Фолькмана одноразова стер.</t>
  </si>
  <si>
    <t>Набір одноразовий(пеленка+рукавиці)стер.</t>
  </si>
  <si>
    <t>Предметне скло</t>
  </si>
  <si>
    <t>Білий наконечник  для піпеточного дозатора, типу Gilson, нестерильний (0,1-10 мкл) 1000 шт.</t>
  </si>
  <si>
    <t xml:space="preserve">Назальна канюля </t>
  </si>
  <si>
    <t>Маска киснева</t>
  </si>
  <si>
    <t>Трубка ендотрахіальна №7,0</t>
  </si>
  <si>
    <t>Трубка ендотрахіальна №7,5</t>
  </si>
  <si>
    <t>Трубка ендотрахіальна №8,0</t>
  </si>
  <si>
    <t>Трубка ендотрахіальна №8,5</t>
  </si>
  <si>
    <t>Кардіопапір до ЕКГ 80*23</t>
  </si>
  <si>
    <t>Кардіопапір до ЕКГ 110*25</t>
  </si>
  <si>
    <t>Cтрічка діаграмна112*100*150</t>
  </si>
  <si>
    <t>Cтрічка діаграмна112*120*250</t>
  </si>
  <si>
    <t>Гель для УЗД 5 л</t>
  </si>
  <si>
    <t>м</t>
  </si>
  <si>
    <t>пар</t>
  </si>
  <si>
    <t>Fentanyl</t>
  </si>
  <si>
    <t>Diazepam</t>
  </si>
  <si>
    <t>Ketamine</t>
  </si>
  <si>
    <t>Morphine</t>
  </si>
  <si>
    <t>Фентаніл р-н д/ін. 0,05мг/мл 2мл №5</t>
  </si>
  <si>
    <t>Сибазон р-н д/ін. 5мг/мл 2мл №10</t>
  </si>
  <si>
    <t>Кетамін р-н д/ін. 50мг/мл 2мл №10</t>
  </si>
  <si>
    <t>Морфін г/хл. р-н д/ін. 1% 1мл №5</t>
  </si>
  <si>
    <t>Антиген кардіоліпіновий</t>
  </si>
  <si>
    <t>Контрольна кров/ гемоглобін</t>
  </si>
  <si>
    <t>Контрольна сироватка для біохімічних досліджень</t>
  </si>
  <si>
    <t>Діагностикум еритроцитарний –HbsAg</t>
  </si>
  <si>
    <t>Набір ІФА EQUI anti Treponema</t>
  </si>
  <si>
    <t xml:space="preserve">Метиленовий синій водний </t>
  </si>
  <si>
    <t>Кальцій</t>
  </si>
  <si>
    <t>Тест-система для визначення ПСА(імунофлуоресцентний метод) №25</t>
  </si>
  <si>
    <t>Тест-система для визначення D-димер (імунофлуоресцентний метод) №25</t>
  </si>
  <si>
    <t>Тест-система для визначення  глікований гемоглобін (імунофлуоресцентний метод) №25</t>
  </si>
  <si>
    <t>Тест-система для визначення СРБ(імунофлуоресцентний метод) №25</t>
  </si>
  <si>
    <t>Hemostat Control plasma Normal 6x1 ml (Контрольна плазма для визначення протромбінового часу)</t>
  </si>
  <si>
    <t>Hemostat Control plasma Abnormal 6x1 ml (Контрольна плазма для визначення протромбінового часу)</t>
  </si>
  <si>
    <t>Набір реактивів для фарбування за Ціль-Нільсоном</t>
  </si>
  <si>
    <t>33120000-7 Системи реєстрації медичної інформації та дослідне обладнання</t>
  </si>
  <si>
    <t>ІНМА</t>
  </si>
  <si>
    <t>42662000-4 Зварювальні матеріали та обладнання</t>
  </si>
  <si>
    <t>39510000-0 Вироби домашнього текстилю</t>
  </si>
  <si>
    <t>39710000-2 Електричні побутові прилади</t>
  </si>
  <si>
    <t>43830000-0 Електричні інструменти</t>
  </si>
  <si>
    <t>16310000-1 Косарки</t>
  </si>
  <si>
    <t>33167000-8 Хірургічні світильники</t>
  </si>
  <si>
    <t>42161000-5 Водонагрівальні бойлери</t>
  </si>
  <si>
    <t>39713200-5 Пральні та сушильні машини</t>
  </si>
  <si>
    <t>30230000-0 Комп’ютерне обладнання</t>
  </si>
  <si>
    <t>16160000-4 Садова техніка різна: кущоріз електричний</t>
  </si>
  <si>
    <t>39515000-5 Штори, портьєри, кухонні штори та тканинні жалюзі</t>
  </si>
  <si>
    <t>33730000-6 Офтальмологічні вироби та коригувальні лінзи</t>
  </si>
  <si>
    <t>30210000-4 Машини для обробки даних (апаратна частина)</t>
  </si>
  <si>
    <t>33160000-9 Устаткування для операційних блоків:</t>
  </si>
  <si>
    <t>44310000-6 Вироби з дроту</t>
  </si>
  <si>
    <t>39220000-0 Кухонне приладдя, товари для дому та господарства і приладдя для закладів громадського харчування</t>
  </si>
  <si>
    <t>33190000-8 Медичне обладнання та вироби медичного призначення різні</t>
  </si>
  <si>
    <t>Автоматичний біохімічний аналізатор</t>
  </si>
  <si>
    <t>Операційний стіл</t>
  </si>
  <si>
    <t>Офісний гістероскоп</t>
  </si>
  <si>
    <t>Стимулятор нервів</t>
  </si>
  <si>
    <t>Аудіометр</t>
  </si>
  <si>
    <t>Артроскоп синускоп цистоскоп</t>
  </si>
  <si>
    <t>Відеогастроскоп</t>
  </si>
  <si>
    <t>Протромбіновий час високочутливий 6 x 2.0 мл Hemostat tromboplastin</t>
  </si>
  <si>
    <t>Ціна без ПДВ</t>
  </si>
  <si>
    <t>32350000-1</t>
  </si>
  <si>
    <t>32354000-9</t>
  </si>
  <si>
    <t>Плівки</t>
  </si>
  <si>
    <t>32354110-3</t>
  </si>
  <si>
    <t>Рентгенівська плівка</t>
  </si>
  <si>
    <t>НАЗВА</t>
  </si>
  <si>
    <t>Одиницявиміру</t>
  </si>
  <si>
    <t>К-сть</t>
  </si>
  <si>
    <t>ЦІНА</t>
  </si>
  <si>
    <t>СУМА</t>
  </si>
  <si>
    <t>Плівка радіографічна стоматологічна медична 3*4 №100</t>
  </si>
  <si>
    <t>Плівка флюорографічна медична 70 мм х 30,5 м</t>
  </si>
  <si>
    <t>Суха медична плівка DRYSTAR DT 5.000I B 20х25x100</t>
  </si>
  <si>
    <t>пак</t>
  </si>
  <si>
    <t>Суха медична плівка DRYSTAR DT 5.000I B 35x43x100</t>
  </si>
  <si>
    <t>24900000-3</t>
  </si>
  <si>
    <t>Чисті хімічні речовини та різноманітна хімічна продукція</t>
  </si>
  <si>
    <t>24930000-2</t>
  </si>
  <si>
    <t>Фотохімікати</t>
  </si>
  <si>
    <t>24931230-0</t>
  </si>
  <si>
    <t>Проявники для рентгенівських плівок</t>
  </si>
  <si>
    <t>24931240-3</t>
  </si>
  <si>
    <t>Фіксажі для рентгенівських плівок</t>
  </si>
  <si>
    <t>Проявник для ручної обробки рентгенівської плівки, 3л (на 15л розчину)</t>
  </si>
  <si>
    <t>Фіксаж для ручної обробки рентгенівської плівки, 3л (на 15л розчину)</t>
  </si>
  <si>
    <t>Вироби медичного призначення та допоміжні засоби тощо (плівка , проявник , фіксаж )</t>
  </si>
  <si>
    <t>Інші податки, збори та платежі на користь держави (екол)</t>
  </si>
  <si>
    <t>Всього інші доходи , грн.</t>
  </si>
  <si>
    <t xml:space="preserve">Інші операційні витрати </t>
  </si>
  <si>
    <t>Видатки за години нічної праці без права сну (лікарі,смп)</t>
  </si>
  <si>
    <t>Видатки на оплату праці в святкові дні (лікарі,смп)</t>
  </si>
  <si>
    <t>Видатки за години нічної праці без права сну (інші)</t>
  </si>
  <si>
    <t>Видатки на оплату праці в святкові дні (інші)</t>
  </si>
  <si>
    <t>Матеріальна допомога , в т.ч. на оздоровлення медики</t>
  </si>
  <si>
    <t>Матеріальна допомога , в т.ч. на оздоровлення інші</t>
  </si>
  <si>
    <t xml:space="preserve">Назва </t>
  </si>
  <si>
    <t>Спирт 70 % «Біосепт» 100мл.</t>
  </si>
  <si>
    <t>Голка хірургічна Gr, з пружинним вушком, з круглим кінчиком SURGIWELOMED, 1/2 окружність, № 10 4А1-0,9*36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</si>
  <si>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</si>
  <si>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* Видатки на відрядження</t>
  </si>
  <si>
    <t>охорона праці</t>
  </si>
  <si>
    <t xml:space="preserve">     (підпис)</t>
  </si>
  <si>
    <t>від  ______________________ 2023 року № _______</t>
  </si>
  <si>
    <t>Надходження за надання послуг МД, що не входять до програми медичних гарантій, грн.</t>
  </si>
  <si>
    <t>Назва структурного підрозділу, посада, кваліфікаційна категорія ( розряд )</t>
  </si>
  <si>
    <t>Прізвище, ім"я, по-батькові</t>
  </si>
  <si>
    <t>Тарифний розряд</t>
  </si>
  <si>
    <t>Посадовий оклад</t>
  </si>
  <si>
    <t>Обсяг роботи за даною посадою (1,0; 0,75; 0,5; 0,25;)</t>
  </si>
  <si>
    <t>Доплати, що мають обов"язковий характер</t>
  </si>
  <si>
    <t>Надбавки, що мають обов"язковий характер</t>
  </si>
  <si>
    <t>Доплата до мінімальної заробітної плати</t>
  </si>
  <si>
    <t>Місячний фонд зарплати (у грн.)</t>
  </si>
  <si>
    <t>Мінімальна заробітна плата</t>
  </si>
  <si>
    <t>ОКЛАД</t>
  </si>
  <si>
    <t>Вислуга років</t>
  </si>
  <si>
    <t>Шкідливі умови праці</t>
  </si>
  <si>
    <t>Оздоровчі</t>
  </si>
  <si>
    <t>Посадовий оклад , визначений за тарифним розрядом</t>
  </si>
  <si>
    <t>Підвищення посадового окладу</t>
  </si>
  <si>
    <t>Посадовий оклад з підвищенням , сума (гр.5-11)</t>
  </si>
  <si>
    <t>За основною посадою</t>
  </si>
  <si>
    <t>За сумісництвом</t>
  </si>
  <si>
    <t>За науковий ступінь , шкідливі умови робітникам ( додаток 6 ) , шеф - кухарю , за використання дезинфікувальних засобів</t>
  </si>
  <si>
    <t>розмір доплати</t>
  </si>
  <si>
    <t>За почесне звання , тривалість безперервної роботи, класність, майстерність за спецконтинент,за вислугу років</t>
  </si>
  <si>
    <t>розмір надбавки</t>
  </si>
  <si>
    <t>За кваліфікаційну категорію Керівникам та їх заступникам , за-ування , старшинство,санітарний транспорт</t>
  </si>
  <si>
    <t>за оперативні втручання</t>
  </si>
  <si>
    <t>за диплом з відзнакою</t>
  </si>
  <si>
    <t>інші підвищення передбачені пунктом 2.2.</t>
  </si>
  <si>
    <t>у зв'язку зі шкідливими і важкими умовами оплати праці</t>
  </si>
  <si>
    <t xml:space="preserve">інші підвищення до посадового окладу </t>
  </si>
  <si>
    <t>у відсотках</t>
  </si>
  <si>
    <t>абсолютний розмір</t>
  </si>
  <si>
    <t>абсолютна сума</t>
  </si>
  <si>
    <t>Посадовий</t>
  </si>
  <si>
    <t>З підвищенням</t>
  </si>
  <si>
    <t>Підвищення</t>
  </si>
  <si>
    <t>По посадовому окладу з підвищенням</t>
  </si>
  <si>
    <t>ВИПЛАЧЕНО</t>
  </si>
  <si>
    <t>ПОТРЕБА</t>
  </si>
  <si>
    <t>2</t>
  </si>
  <si>
    <t>3</t>
  </si>
  <si>
    <t>4</t>
  </si>
  <si>
    <t>6</t>
  </si>
  <si>
    <t>7</t>
  </si>
  <si>
    <t>8</t>
  </si>
  <si>
    <t>9</t>
  </si>
  <si>
    <t>АПАРАТ УПРАВЛІННЯ</t>
  </si>
  <si>
    <t>вища категорія УОЗ № 112-ос/к - 25.06.2019</t>
  </si>
  <si>
    <t>-</t>
  </si>
  <si>
    <t>вища категорія хірургія № 295 - 31.10.2018</t>
  </si>
  <si>
    <t>Галь О.І.</t>
  </si>
  <si>
    <t>Моргун О.Є.</t>
  </si>
  <si>
    <t>ВСЬОГО</t>
  </si>
  <si>
    <t>ПОЛІКЛІНІКА</t>
  </si>
  <si>
    <t>вища категорія терапія № 130-ос/к - 26.06.2018</t>
  </si>
  <si>
    <t>Вінська Т.Й.</t>
  </si>
  <si>
    <t>Лікар - акушер - гінеколог</t>
  </si>
  <si>
    <t>ІІ категорія акушерство і гінекологія № 343-ос/к - 13.12.2017</t>
  </si>
  <si>
    <t>Семенюк В.С.</t>
  </si>
  <si>
    <t>вакансія</t>
  </si>
  <si>
    <t>Лікар-дерматовенеролог</t>
  </si>
  <si>
    <t>Кузава Т.А.</t>
  </si>
  <si>
    <t>Лікар-ендокринолог</t>
  </si>
  <si>
    <t>І категорія ендокринологія № 396-ос/к - 06.12.2018</t>
  </si>
  <si>
    <t>Алі Шах А.В.</t>
  </si>
  <si>
    <t>Лікар-ендоскопіст</t>
  </si>
  <si>
    <t>І категорія ендоскопія № 23-ос/к - 28.02.2019</t>
  </si>
  <si>
    <t>Гнатюк В. І.</t>
  </si>
  <si>
    <t>Лікар-нарколог</t>
  </si>
  <si>
    <t>б/к</t>
  </si>
  <si>
    <t>Мазун Т.М.</t>
  </si>
  <si>
    <t xml:space="preserve">Рішення Рожищенської міської ради </t>
  </si>
  <si>
    <t>М. П. (власне ім'я, прізвище)</t>
  </si>
  <si>
    <t xml:space="preserve">         (власне ім'я , прізвище)    </t>
  </si>
  <si>
    <t xml:space="preserve">ЗАТВЕРДЖЕНО </t>
  </si>
  <si>
    <t>Тетяна Величко 0673342252</t>
  </si>
  <si>
    <t>Конкретна назва предмета закупівлі</t>
  </si>
  <si>
    <t>ДК 021-2015</t>
  </si>
  <si>
    <t>1</t>
  </si>
  <si>
    <t>ПОСЛУГИ,ОРЕНДА,БЕЗКОШТОВНЕ ПОСТАЧАННЯ</t>
  </si>
  <si>
    <t>ФІНАНСОВИЙ ПЛАН ПІДПРИЄМСТВА НА  2023 рік</t>
  </si>
  <si>
    <t>%</t>
  </si>
  <si>
    <t>вища категорія дерматовенерологія № 54 - ос/к - 27.12.2019</t>
  </si>
  <si>
    <t>лікар-спеціаліст стоматологія № 421/01-05 - 21.10.2021</t>
  </si>
  <si>
    <t>Іщук А.С.</t>
  </si>
  <si>
    <t>Блащук Ю.В.</t>
  </si>
  <si>
    <t>ВІДДІЛ З ІНФЕКЦІЙНОГО КОНТРОЛЮ</t>
  </si>
  <si>
    <t xml:space="preserve">АКУШЕРСЬКО-ГІНЕКОЛОГІЧНЕ ВІДДІЛЕННЯ </t>
  </si>
  <si>
    <t>ІНФЕКЦІЙНЕ ВІДДІЛЕННЯ</t>
  </si>
  <si>
    <t>Лікар - інфекціоніст</t>
  </si>
  <si>
    <t xml:space="preserve">НЕВРОЛОГІЧНЕ ВІДДІЛЕННЯ </t>
  </si>
  <si>
    <t>Завідувач відділення , лікар - невропатолог</t>
  </si>
  <si>
    <t xml:space="preserve">ТЕРАПЕВТИЧНЕ ВІДДІЛЕННЯ </t>
  </si>
  <si>
    <t xml:space="preserve">ПЕДІАТРИЧНЕ ВІДДІЛЕННЯ  </t>
  </si>
  <si>
    <t>вища категорія педіатрія № 27-ос/к - 18.02.2021</t>
  </si>
  <si>
    <t>Ткачук О.П.</t>
  </si>
  <si>
    <t>І категорія хірургія № 24-ос/к - 21.02.2022</t>
  </si>
  <si>
    <t>І категорія хірургія № 174 - 13.09.2019</t>
  </si>
  <si>
    <t>Басалик Ю.І.</t>
  </si>
  <si>
    <t>Лікар-ортопед-травматолог</t>
  </si>
  <si>
    <t xml:space="preserve">лікар-спеціаліст ортопедія травматологія № 2018 -з - 23.06.2021 </t>
  </si>
  <si>
    <t>Гіляровський В.Є.</t>
  </si>
  <si>
    <t>Мазурик О.А.</t>
  </si>
  <si>
    <t xml:space="preserve">ВІДДІЛЕННЯ АНЕСТЕЗІОЛОГІЇ ТА ІНТЕНСИВНОЇ ТЕРАПІЇ </t>
  </si>
  <si>
    <t>Завідувач відділення , лікар - анестезіолог</t>
  </si>
  <si>
    <t>лікар-спеціаліст анестезіологія та інтенсивна терапія №1976-з - 24.06.2022</t>
  </si>
  <si>
    <t>ІІ категорія анестезіологія № 85-ос/к - 20.05.2021</t>
  </si>
  <si>
    <t>Хомич В.В.</t>
  </si>
  <si>
    <t>лікар-спеціаліст анестезіологія та інтенсивна терапія №2032-з - 21.06.2019</t>
  </si>
  <si>
    <t>вища категорія клінічна лабораторна діагностика № 296-ос/к - 10.11.2021</t>
  </si>
  <si>
    <t>Лікар приймальної палати (відділення)</t>
  </si>
  <si>
    <t>І категорія сестринська справа № 54-ос - 11.04.2019</t>
  </si>
  <si>
    <t>Степанюк О.В.</t>
  </si>
  <si>
    <t>ІІ категорія акушерська справа № 95-ос/к - 17.05.2018</t>
  </si>
  <si>
    <t xml:space="preserve">Сестра медична (брат медичний ) поліклініки </t>
  </si>
  <si>
    <t>Губій О.Л.</t>
  </si>
  <si>
    <t>вища категорія сестринська справа № 318-ос/к - 22.12.2021</t>
  </si>
  <si>
    <t>вища категорія сестринська справа № 267-ос/к - 07.10.2021</t>
  </si>
  <si>
    <t>І категорія сестринська справа №16-ос/к 14.02.2019</t>
  </si>
  <si>
    <t>Богдан Л.В.</t>
  </si>
  <si>
    <t>Помічник лікаря-епідеміолога</t>
  </si>
  <si>
    <t>Іванюк М.В.</t>
  </si>
  <si>
    <t>Фармацевт клінічний</t>
  </si>
  <si>
    <t>Трофімчук І.М.</t>
  </si>
  <si>
    <t xml:space="preserve">Сестра медична ( брат медичний ) стаціонару </t>
  </si>
  <si>
    <t>вища категорія сестринська справа № 276-ос/к - 07.10.2021</t>
  </si>
  <si>
    <t xml:space="preserve">вища категорія сестринська справа № 258-ос/к - 22.09.2021 </t>
  </si>
  <si>
    <t>вища категорія сестринська справа № 201-ос/к - 08.06.2022</t>
  </si>
  <si>
    <t>Соловонюк Т.М.</t>
  </si>
  <si>
    <t>Приймачок О.М.</t>
  </si>
  <si>
    <t>вища категорія сестринська справа № 310-ос/к - 09.12.2021</t>
  </si>
  <si>
    <t>вища категорія сестринська справа (операційна) № 297-ос/к - 11.11.2021</t>
  </si>
  <si>
    <t>І категорія сестринська справа № 34-ос/к - 10.03.2022</t>
  </si>
  <si>
    <t>вища категорія сестринська справа (операційна) № 335-ос/к-07.11.2019</t>
  </si>
  <si>
    <t>вища категорія сестринська справа (операційна) № 34-ос/к - 10.03.2022</t>
  </si>
  <si>
    <t>Гацик Л. А.</t>
  </si>
  <si>
    <t>вища категорія сестринська справа № 304-ос/к - 24.11.2021</t>
  </si>
  <si>
    <t>вища категорія сестринська справа № 254-ос/к - 09.09.2021</t>
  </si>
  <si>
    <t>Борух Н.М.</t>
  </si>
  <si>
    <t>Полячук В.В.</t>
  </si>
  <si>
    <t>Вакулюк С.М.</t>
  </si>
  <si>
    <t>Криштапюк Л.Б.</t>
  </si>
  <si>
    <t>Шрай О.Є.</t>
  </si>
  <si>
    <t>Молодша медична сестра ( молодший медичний брат ) з догляду за хворими</t>
  </si>
  <si>
    <t>Войтюк Н.В.</t>
  </si>
  <si>
    <t>Кузнецова Т.В.</t>
  </si>
  <si>
    <t>Іщук Т.А.</t>
  </si>
  <si>
    <t>Зелінська Н.М.</t>
  </si>
  <si>
    <t>Омельчук О.В.</t>
  </si>
  <si>
    <t>Шибуня С.М.</t>
  </si>
  <si>
    <t>Гайда Л.Б.</t>
  </si>
  <si>
    <t>Гайда С.В.</t>
  </si>
  <si>
    <t>Лавренчук С.Р.</t>
  </si>
  <si>
    <t>Робітник з благоустрою</t>
  </si>
  <si>
    <t>Людмила ШКРОБОТ</t>
  </si>
  <si>
    <t>Тетяна ВЕЛИЧКО</t>
  </si>
  <si>
    <t>Руслана ІВАНЮК</t>
  </si>
  <si>
    <t>Тетяна ІЩУК</t>
  </si>
  <si>
    <t>Наталія ЗЕЛІНСЬКА</t>
  </si>
  <si>
    <t>Наталія РОСОЛОВСЬКА</t>
  </si>
  <si>
    <t>Євгенія РОСОЛОВСЬКА</t>
  </si>
  <si>
    <t>Світлана ШИБУНЯ</t>
  </si>
  <si>
    <t>Ігор КУЧИНСЬКИЙ</t>
  </si>
  <si>
    <t>Олена ПОРУЧНИК</t>
  </si>
  <si>
    <t>вища категорія урологія № 31-к - 18.02.2020</t>
  </si>
  <si>
    <t xml:space="preserve">Розрахунок видатків на оплату праці на 2023 рік </t>
  </si>
  <si>
    <t xml:space="preserve">План закупок відповідно до табелю матеріально-технічного оснащення </t>
  </si>
  <si>
    <t>НСЗУ</t>
  </si>
  <si>
    <t>ЗАТВЕРДЖЕНО</t>
  </si>
  <si>
    <t>наказ директора</t>
  </si>
  <si>
    <t>КП "Рожищенська багатопрофільна лікарня "</t>
  </si>
  <si>
    <t>№ 355 ос/к від 01.10.2022 року</t>
  </si>
  <si>
    <t>комунального підприємства</t>
  </si>
  <si>
    <t>"Рожищенська багатопрофільна лікарня" Рожищенської міської ради</t>
  </si>
  <si>
    <t>ЄДРПОУ 01982910</t>
  </si>
  <si>
    <t>Штат у кількості</t>
  </si>
  <si>
    <t>штатних одиниць</t>
  </si>
  <si>
    <t xml:space="preserve"> з місячним фондом заробітної плати</t>
  </si>
  <si>
    <t>Код за Класифікатором професій</t>
  </si>
  <si>
    <t>№ п/п</t>
  </si>
  <si>
    <t>Назва структурного підрозділу та посад</t>
  </si>
  <si>
    <t>Кількість штатних одиниць</t>
  </si>
  <si>
    <t>Посадовий оклад (грн.)</t>
  </si>
  <si>
    <t>Доплати (грн.)</t>
  </si>
  <si>
    <t>Фонд заробітної плати на місяць ( грн.)</t>
  </si>
  <si>
    <t>Фонд заробітної плати на місяць ( грн.) 13500; 20000 З ДОПЛАТОЮ</t>
  </si>
  <si>
    <t>ДОПЛАТА місяць ( грн.) 13500; 20000</t>
  </si>
  <si>
    <t>Доплата 2022 рік ( грн.) 13500 ; 20000</t>
  </si>
  <si>
    <t>До мінімальної заробітної плати</t>
  </si>
  <si>
    <t>5</t>
  </si>
  <si>
    <t>1210.1</t>
  </si>
  <si>
    <t>лікар</t>
  </si>
  <si>
    <t>керівники</t>
  </si>
  <si>
    <t>керівники структурних підрозділів</t>
  </si>
  <si>
    <t>2411.2</t>
  </si>
  <si>
    <t>інші працівники</t>
  </si>
  <si>
    <t>1226.2</t>
  </si>
  <si>
    <t>2132.2</t>
  </si>
  <si>
    <t>2149.2</t>
  </si>
  <si>
    <t>3436.1</t>
  </si>
  <si>
    <t>2445.2</t>
  </si>
  <si>
    <t xml:space="preserve">ВСЬОГО </t>
  </si>
  <si>
    <t>1229.5</t>
  </si>
  <si>
    <t>середній</t>
  </si>
  <si>
    <t>2221.2</t>
  </si>
  <si>
    <t>Лікар-невропатолог</t>
  </si>
  <si>
    <t>Середній персонал</t>
  </si>
  <si>
    <t>СТАЦІОНАР</t>
  </si>
  <si>
    <t>Акушерсько-гінекологічне відділення на 15 ліжок ( 6 акушерські , 6 патологія вагітних , 3 гінекологічні)</t>
  </si>
  <si>
    <t xml:space="preserve">Лікар - педіатр - неонатолог </t>
  </si>
  <si>
    <t>Сестра медична старша (брат медичний старший )</t>
  </si>
  <si>
    <t>Молодша медична сестра ( молодший медичний брат ) ( санітарка палатна, санітар палатний )</t>
  </si>
  <si>
    <t>молодший</t>
  </si>
  <si>
    <t>Неврологічне відділення на 30 ліжок</t>
  </si>
  <si>
    <t>Сестра медична ( брат медичний ) стаціонару ( процедурна, процедурний )</t>
  </si>
  <si>
    <t>Терапевтичне відділення на 30 ліжок</t>
  </si>
  <si>
    <t>Педіатричне відділення  на 10 ліжок</t>
  </si>
  <si>
    <t>Лікар-педіатр</t>
  </si>
  <si>
    <t>Сестра медична ( брат медичний ) стаціонару (перев'язувальна,перев'язувальний)</t>
  </si>
  <si>
    <t>Молодша медична сестра ( молодший медичний брат ) ( санітарка , санітар )</t>
  </si>
  <si>
    <t>Відділення анестезіології та інтенсивної терапії на 6 ліжок</t>
  </si>
  <si>
    <t>Завідувач відділення, лікар - анестезіолог</t>
  </si>
  <si>
    <t>ДОПОМІЖНІ ЛІКУВАЛЬНО-ДІАГНОСТИЧІН ПІДРОЗДІЛИ</t>
  </si>
  <si>
    <t>Клініко-діагностична лабораторія</t>
  </si>
  <si>
    <t>Завідувач  лабораторії , лікар - лаборант</t>
  </si>
  <si>
    <t>2211.2</t>
  </si>
  <si>
    <t>Рентген кабінет</t>
  </si>
  <si>
    <t>2229.2</t>
  </si>
  <si>
    <t>Лікар - ренгенолог</t>
  </si>
  <si>
    <t>Фізіотерапевтичне відділення</t>
  </si>
  <si>
    <t>Завідувач відділення ,  лікар - фізіотерапевт</t>
  </si>
  <si>
    <t>Сестра медична ( брат медичний ) з фізіотерапії</t>
  </si>
  <si>
    <t>Сестра медична ( брат медичний ) з масажу</t>
  </si>
  <si>
    <t>Сестра медична ( брат медичний ) з лікувальної фізкультури</t>
  </si>
  <si>
    <t>СТРУКТУРНІ ПІДРОЗДІЛИ СТАЦІОНАРУ</t>
  </si>
  <si>
    <t>Лікар приймального відділення</t>
  </si>
  <si>
    <t>Централізована стерилізаційна</t>
  </si>
  <si>
    <t>Сестра медична ( брат медичний ) ( стерилізаційної )</t>
  </si>
  <si>
    <t>Фармацевт</t>
  </si>
  <si>
    <t xml:space="preserve">Головний бухгалтер                                           </t>
  </si>
  <si>
    <t>Старший інспектор з кадрів</t>
  </si>
  <si>
    <t xml:space="preserve">Надбавки </t>
  </si>
  <si>
    <t>Штат у кількості 241,5 штатних одиниць</t>
  </si>
  <si>
    <t>ЄСВ</t>
  </si>
  <si>
    <t>ФОП</t>
  </si>
  <si>
    <t>В тому числі</t>
  </si>
  <si>
    <t>Керівник підприємства (установи, організації) охорони здоров'я (генеральний директор, директор, головний лікар та ін.)</t>
  </si>
  <si>
    <t>78**</t>
  </si>
  <si>
    <t>76, 1</t>
  </si>
  <si>
    <t>1**</t>
  </si>
  <si>
    <t>Інженер-програміст</t>
  </si>
  <si>
    <t>Інженер з охорони праці</t>
  </si>
  <si>
    <t>Інженер з ремонту</t>
  </si>
  <si>
    <t>Фахівець з питань цивільного захисту</t>
  </si>
  <si>
    <t>2419.2</t>
  </si>
  <si>
    <t>Інспектор з кадрів</t>
  </si>
  <si>
    <t>Бухгалтер (з дипломом магістра)</t>
  </si>
  <si>
    <t>2419.3</t>
  </si>
  <si>
    <t>Спеціаліст-бухгалтер</t>
  </si>
  <si>
    <t>Помічник керівника підприємства (установи, організації)</t>
  </si>
  <si>
    <t>Касир (на підприємстві, в установі, організації)</t>
  </si>
  <si>
    <t>Машиніст котлів</t>
  </si>
  <si>
    <t>1, 87</t>
  </si>
  <si>
    <t>Головна медична сестра</t>
  </si>
  <si>
    <t>Сестра медична з дієтичного харчування</t>
  </si>
  <si>
    <t>Сестра медична</t>
  </si>
  <si>
    <t>Лікар-акушер-гінеколог</t>
  </si>
  <si>
    <t>Лікар-психіатр</t>
  </si>
  <si>
    <t>2222.2</t>
  </si>
  <si>
    <t>Лікар-стоматолог</t>
  </si>
  <si>
    <t>Лікар-терапевт</t>
  </si>
  <si>
    <t>Акушерка</t>
  </si>
  <si>
    <t>Сестра медична поліклініки</t>
  </si>
  <si>
    <t>Начальник (завідувач, керівник) структурного підрозділу закладу охорони здоров'я</t>
  </si>
  <si>
    <t>Лікар-анестезіолог</t>
  </si>
  <si>
    <t>Лікар-педіатр-неонатолог</t>
  </si>
  <si>
    <t>Сестра медична стаціонару</t>
  </si>
  <si>
    <t>Молодша медична сестра (санітарка, санітарка-прибиральниця, санітарка-буфетниця та ін.)</t>
  </si>
  <si>
    <t>Лікар-інфекціоніст</t>
  </si>
  <si>
    <t>Сестра медична операційна</t>
  </si>
  <si>
    <t>Сестра медична-анестезист</t>
  </si>
  <si>
    <t>Лаборант (медицина)</t>
  </si>
  <si>
    <t>Лікар-рентгенолог</t>
  </si>
  <si>
    <t>Сестра медична з фізіотерапії</t>
  </si>
  <si>
    <t>Сестра медична з масажу</t>
  </si>
  <si>
    <t>Сестра медична з лікувальної фізкультури</t>
  </si>
  <si>
    <t>2225.2</t>
  </si>
  <si>
    <t>КЕРІВНИКИ ПІДПРИЄМСТВ, УСТАНОВ ТА ОРГАНІЗАЦІЙ</t>
  </si>
  <si>
    <t>КЕРІВНИКИ ФІНАНСОВИХ,БУХГАЛТЕРСЬКИХ,ЕКОНОМІЧНИХ,ЮРИДИЧНИХ ТА АДМІНІСТРАТИВНИХ ПІДРОЗДІЛІВ ТА ІНШІ КЕРІВНИКИ</t>
  </si>
  <si>
    <t>ФАХІВЦІ</t>
  </si>
  <si>
    <t xml:space="preserve">ПРОФЕСІОНАЛИ </t>
  </si>
  <si>
    <t>КЕРІВНИКИ ІНШИХ ФУНКЦІОНАЛЬНИХ ПІДРОЗДІЛІВ</t>
  </si>
  <si>
    <t>КЕРІВНИКИ ВИРОНИЧИХ ПІДРОЗДІЛІВ НА ТРАНСПОРТІ, В СКЛАДСЬКОМУ ГОСПОДАРСТВІ ТА ЗВ'ЯЗКУ</t>
  </si>
  <si>
    <t>ТЕХНІЧНІ СЛУЖБОВЦІ</t>
  </si>
  <si>
    <t>ПРАЦІВНИКИ СФЕРИ ТОРГІВЛІ ТА ПОСЛУГ</t>
  </si>
  <si>
    <t xml:space="preserve">КВАЛІФІКОВАНІ РОБІТНИКИ З ІНСТРУМЕНТОМ </t>
  </si>
  <si>
    <t xml:space="preserve">РОБІТНИКИ З ОБСЛУГОВУВАННЯ, ЕКСПЛУАТАЦІЇ ТА КОНТРОЛЮВАННЯ ЗА РОБОТОЮ ТЕХНОЛОГІЧНОГО УСТАТКУВАННЯ, СКЛАДАННЯ УСТАТКУВАННЯ ТА МАШИН </t>
  </si>
  <si>
    <t xml:space="preserve">НАЙПРОСТІШІ ПРОФЕСІЇ </t>
  </si>
  <si>
    <t>КЕРІВНИКИ ПІДРОЗДІЛІВ В ОХОРОНІ ЗДОРОВ'Я</t>
  </si>
  <si>
    <t>ФАХІВЦІ (Медицини )</t>
  </si>
  <si>
    <t>ПРОФЕСІОНАЛИ (Лікарі)</t>
  </si>
  <si>
    <t>Інфекційне відділення на 20 ліжок</t>
  </si>
  <si>
    <t>Хірургічне відділення з операційним блоком на 40 ліжок ( в т.ч. 5 травматологічних , 5 урологічних )</t>
  </si>
  <si>
    <t>Акушерсько-гінекологічне</t>
  </si>
  <si>
    <t>Інфекційне відділення</t>
  </si>
  <si>
    <t>Неврологічне відділення</t>
  </si>
  <si>
    <t>Терапевтичне відділення</t>
  </si>
  <si>
    <t>Хірургічне відділення</t>
  </si>
  <si>
    <t>Розрахунок видатків на оплату праці в святкові дні 2023</t>
  </si>
  <si>
    <t>Сума всього на 2023 рік</t>
  </si>
  <si>
    <t>Сума всього на 2023</t>
  </si>
  <si>
    <t xml:space="preserve">Розрахунок видатків нічної праці без права сну на 2023 </t>
  </si>
  <si>
    <t>(Один мільйон вісімсот двадцять дві тисячі триста одна грн. 00 коп. )</t>
  </si>
  <si>
    <t xml:space="preserve"> з місячним фондом заробітної плати  1 822 301 грн.</t>
  </si>
  <si>
    <t>підвищена</t>
  </si>
  <si>
    <t>Хірургічні операції дорослим та дітям у стаціонарних умовах</t>
  </si>
  <si>
    <t>Стаціонарна допомога дорослим та дітям без проведення хірургічних операцій</t>
  </si>
  <si>
    <t>Медична допомога при пологах</t>
  </si>
  <si>
    <t>Профілактика, діагностика, спостереження, лікування та реабілітація пацієнтів в амбулаторних умовах</t>
  </si>
  <si>
    <t>Гістероскопія</t>
  </si>
  <si>
    <t>Стаціонарна паліативна медична допомога дорослим та дітям</t>
  </si>
  <si>
    <t>Мобільна паліативна медична допомога дорослим і дітям</t>
  </si>
  <si>
    <t>Стоматологічна допомога дорослим та дітям</t>
  </si>
  <si>
    <t>Ведення вагітності в амбулаторних умовах</t>
  </si>
  <si>
    <t>Хірургічні операції дорослим та дітям в умовах стаціонару одного дня</t>
  </si>
  <si>
    <t>Стаціонарна медична допомога пацієнтам з гострою респіраторною хворобою COVID-19, спричиненою коронавірусом SARS-CoV-2</t>
  </si>
  <si>
    <r>
      <t xml:space="preserve">Надходження надавача від медичного обслуговування населення за програмою медичних гарантій, </t>
    </r>
    <r>
      <rPr>
        <b/>
        <i/>
        <sz val="22"/>
        <rFont val="Times New Roman"/>
        <family val="1"/>
        <charset val="204"/>
      </rPr>
      <t>грн.</t>
    </r>
  </si>
  <si>
    <r>
      <t xml:space="preserve">Інші надходження від медичного обслуговування населення , </t>
    </r>
    <r>
      <rPr>
        <i/>
        <sz val="22"/>
        <rFont val="Times New Roman"/>
        <family val="1"/>
        <charset val="204"/>
      </rPr>
      <t>грн.</t>
    </r>
  </si>
  <si>
    <r>
      <t xml:space="preserve">Інші надходження/доходи надавача МД, </t>
    </r>
    <r>
      <rPr>
        <b/>
        <i/>
        <sz val="22"/>
        <rFont val="Times New Roman"/>
        <family val="1"/>
        <charset val="204"/>
      </rPr>
      <t>грн.</t>
    </r>
  </si>
  <si>
    <r>
      <t xml:space="preserve">ВСЬОГО ДОХОДІВ надавача , </t>
    </r>
    <r>
      <rPr>
        <b/>
        <i/>
        <sz val="22"/>
        <rFont val="Times New Roman"/>
        <family val="1"/>
        <charset val="204"/>
      </rPr>
      <t>грн.</t>
    </r>
  </si>
  <si>
    <t>покриття вартості комунальних послуг та енергоносіїв надавача медичної допомоги</t>
  </si>
  <si>
    <t xml:space="preserve">вища категорія психіатрія № 97-ос від 29.06.2017 ; продовжено </t>
  </si>
  <si>
    <t>ІІ категорія офтальмологія № 281-ос/к - 28.09.2017 продовжено</t>
  </si>
  <si>
    <t>вища категорія епідеміологія № 84-ос/к - 14.06.2017 продовжено</t>
  </si>
  <si>
    <t>вища категорія акушерство і гінекологія № 77-ос/к - 25.05.2017 продовжено</t>
  </si>
  <si>
    <t xml:space="preserve">вища категорія анестезіологія № 28-ос/к - 28.09.2017 продовжено </t>
  </si>
  <si>
    <t>вища категорія медико профілактична справа № 123-ос/к - 12.07.2017 продовжено</t>
  </si>
  <si>
    <t>вища категорія сестринська справа № 65-ос/к - 10.05.2017 продовжено</t>
  </si>
  <si>
    <t>вища категорія сестринська справа № 52-ос/к - 13.04.2017 продовжено</t>
  </si>
  <si>
    <t>вища категорія сестринська справа № 152-ос/к - 13.04.2017 продовжено</t>
  </si>
  <si>
    <t>вища категорія сестринська справа № 82-ос/к - 08.06.2017 продовжено</t>
  </si>
  <si>
    <t>вища категорія сестринська справа (операційна) № 52-ос/к - 13.04.2017 продовжено</t>
  </si>
  <si>
    <t>І категорія сестринська справа № 65-ос/к - 10.05.2017 продовжено</t>
  </si>
  <si>
    <t>Бондарук - Жирибець С.В.</t>
  </si>
  <si>
    <t>Склад</t>
  </si>
  <si>
    <t>Гараж</t>
  </si>
  <si>
    <t>Харчоблок</t>
  </si>
  <si>
    <t>Інженерно-технічна служба</t>
  </si>
  <si>
    <t>Господарська служба</t>
  </si>
  <si>
    <t>Котельня</t>
  </si>
  <si>
    <t>Молодший персонал</t>
  </si>
  <si>
    <t>Площа опалювальна - 11973,4</t>
  </si>
  <si>
    <t>Площа орендарів - 1269,4</t>
  </si>
  <si>
    <t>Реалізація окремих заходів державних (регіональних) програм, не віднесені до заходів розвитку</t>
  </si>
  <si>
    <t xml:space="preserve">Інші доходи (не зазначені вище), грн. </t>
  </si>
  <si>
    <t>Оклади з урахуванням доплат до мінімальної заробітної плати , 6700</t>
  </si>
  <si>
    <t>ПРЕСТИЖНІСТЬ МЕДИЧНИХ ПРАЦІВНИКІВ</t>
  </si>
  <si>
    <t>АППАРАТ УПРАВЛІННЯ</t>
  </si>
  <si>
    <t>АДМІНІСТРАЦІЯ</t>
  </si>
  <si>
    <t>Тарифікаційний список працівників КП "Рожищенська багатопрофільна лікарня" на 01 січня 2023 рік</t>
  </si>
  <si>
    <t>БУХГАЛТЕРСЬКИЙ ВІДДІЛ</t>
  </si>
  <si>
    <t>ВІДДІЛ ПРАЦІ ТА СОЦІАЛЬНО-ПРАВОВОГО ЗАБЕЗПЕЧЕННЯ</t>
  </si>
  <si>
    <t>ГОСПОДАРСЬКИЙ ВІДДІЛ</t>
  </si>
  <si>
    <t>ІНФОРМАЦІЙНО-АНАЛІТИЧНИЙ ВІДДІЛ</t>
  </si>
  <si>
    <t>ШТАТНИЙ РОЗПИС на 2023 рік</t>
  </si>
  <si>
    <t>№ 777 ос/к від 01.01.2023 року</t>
  </si>
  <si>
    <t>Вводиться в дію з 01 січня 2023 року</t>
  </si>
  <si>
    <t>керівники сп</t>
  </si>
  <si>
    <t>фахівці</t>
  </si>
  <si>
    <t>професіонали</t>
  </si>
  <si>
    <t>інші праціники</t>
  </si>
  <si>
    <t>технічні службовці</t>
  </si>
  <si>
    <t>фахівці (медицини)</t>
  </si>
  <si>
    <t>робітники</t>
  </si>
  <si>
    <t>працівники сфери послуг</t>
  </si>
  <si>
    <t>найпростіші професії</t>
  </si>
  <si>
    <t>кваліфіковані робітники</t>
  </si>
  <si>
    <t>робітники з обслуговування</t>
  </si>
  <si>
    <t>Фонд заробітної плати на 2023 рік ( грн.)</t>
  </si>
  <si>
    <t>Фонд заробітної плати на 2023 рік ( грн.) 13500 ; 20000</t>
  </si>
  <si>
    <t>ХІРУРГІЧНЕ ВІДДІЛЕННЯ З ОПЕРАЦІЙНИМ БЛОКОМ</t>
  </si>
  <si>
    <t>РЕНТГЕН КАБІНЕТ</t>
  </si>
  <si>
    <t>Поліщук Н.В.</t>
  </si>
  <si>
    <t>вища категорія сестринська справа № 000-ос/к - 00.00.2000</t>
  </si>
  <si>
    <t xml:space="preserve">АПАРАТ УПРАВЛІННЯ </t>
  </si>
  <si>
    <t xml:space="preserve">№ </t>
  </si>
  <si>
    <t>1.1</t>
  </si>
  <si>
    <t>1.2</t>
  </si>
  <si>
    <t>1.3</t>
  </si>
  <si>
    <t>1.4</t>
  </si>
  <si>
    <t>1.5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</si>
  <si>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</si>
  <si>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</si>
  <si>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</si>
  <si>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</si>
  <si>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</si>
  <si>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</si>
  <si>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</si>
  <si>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</si>
  <si>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</si>
  <si>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5.1</t>
  </si>
  <si>
    <t>5.2</t>
  </si>
  <si>
    <t>5.3</t>
  </si>
  <si>
    <t>Фонд заробітної плати на місяць ( грн.)  з урахуванням за престижність медичним працівникам</t>
  </si>
  <si>
    <t>Фонд заробітної плати на рік ( грн.)  з урахуванням за престижність медичним працівникам</t>
  </si>
  <si>
    <t xml:space="preserve"> з місячним фондом заробітної плати  2 998 640 грн.</t>
  </si>
  <si>
    <t>лікарі</t>
  </si>
  <si>
    <t>інші</t>
  </si>
  <si>
    <t>Факт 2022 року</t>
  </si>
  <si>
    <t>ПЛАН ВСЬОГО</t>
  </si>
  <si>
    <t>в т.ч МІСЦЕВІ КОШТИ</t>
  </si>
  <si>
    <t>перевірка</t>
  </si>
  <si>
    <t>Кількість запроектованого тепла твердопаливними котлами , Гкал</t>
  </si>
  <si>
    <t>Кількість твердого палива необхідного для отримання тепла , куб.м.</t>
  </si>
  <si>
    <t>Одиниця виміру</t>
  </si>
  <si>
    <t>Кількість заплановано</t>
  </si>
  <si>
    <t>Сума</t>
  </si>
  <si>
    <t>Орієнтована вартість</t>
  </si>
  <si>
    <t>Всього днів опалюваного сезону</t>
  </si>
  <si>
    <t>Використання тріски паливної в середньому на добу м3</t>
  </si>
  <si>
    <t>Число годин роботи у 2023 році</t>
  </si>
  <si>
    <t>Розрахунок планових видатків на придбання тріски паливної при вільному насипі на 2023 рік</t>
  </si>
  <si>
    <t>КП "Рожищенська багатопрофільна лікарня"</t>
  </si>
  <si>
    <t xml:space="preserve">Придбання тріски паливної при вільному насипі </t>
  </si>
  <si>
    <t>Місцевий бюджет</t>
  </si>
  <si>
    <t>Власні кошти</t>
  </si>
  <si>
    <t>Твердопаливний котел ARS NAVIGATOR КМ-1000</t>
  </si>
  <si>
    <t>1 кВт = 0,00086 Гкал/час</t>
  </si>
  <si>
    <t>Если имеется показание в киловаттах, его нужно умножить на 0,00086 и получится оно же в гигакалориях.</t>
  </si>
  <si>
    <t>Площа  - 11973,4</t>
  </si>
  <si>
    <t>Площа орендарів - 1227</t>
  </si>
  <si>
    <t>Орендар , користувач</t>
  </si>
  <si>
    <t>ДВТП "Волиньфармпостач"</t>
  </si>
  <si>
    <t>ТзОВ "Волиньфарм"</t>
  </si>
  <si>
    <t>ТзОВ "Сальве"</t>
  </si>
  <si>
    <t>ФОП Будчик Петро Петрович</t>
  </si>
  <si>
    <t>ФОП Гордіюк Тетяна Станіславівна</t>
  </si>
  <si>
    <t>ФОП Ковальчук Віталій Володимирович</t>
  </si>
  <si>
    <t>ФОП Леонець Олександр Вікторович</t>
  </si>
  <si>
    <t>ФОП Мороз Людмила Володимирівна</t>
  </si>
  <si>
    <t>ФОП Грома Віктор Сергійович</t>
  </si>
  <si>
    <t>ФОП Матрунчик Віталій Валерійович</t>
  </si>
  <si>
    <t>ТзОВ " МЕДИЧНА ЛАБОРАТОРІЯ ПАНАКЕЯ"</t>
  </si>
  <si>
    <t>КЗ РРЦ ПМСД</t>
  </si>
  <si>
    <t>КЗ ВОЦЕМДМК</t>
  </si>
  <si>
    <t>ФОП Ходимський Максим Сергійович</t>
  </si>
  <si>
    <t>ФОП Козачок Анатолій Петрович</t>
  </si>
  <si>
    <t>план 2023</t>
  </si>
  <si>
    <t xml:space="preserve">Площа </t>
  </si>
  <si>
    <t>2022 розрахунково</t>
  </si>
  <si>
    <t>2023 рік</t>
  </si>
  <si>
    <t>Розрахунок планових видатків на придбання електричної енергії на 2023 рік</t>
  </si>
  <si>
    <t>Котел КАЛВІС -950 ( 1 шт.) з автоматичню подачею палива</t>
  </si>
  <si>
    <t xml:space="preserve">Машиніст котлів </t>
  </si>
  <si>
    <t>Віктор САДОВИЙ</t>
  </si>
  <si>
    <t>Ігор Кучинський</t>
  </si>
  <si>
    <t>6000 * 12 = 72000 У 2022 - 5204,55</t>
  </si>
  <si>
    <t>Орієнтовні обсяги фінансування Програми підтримки та розвитку вторинної медичної допомоги на території Рожищенської територіальної громади на 2023 рік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</si>
  <si>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вул. Коте Шилокадзе, будинок 19, місто Рожище, Луцький район, Волинська область</t>
  </si>
  <si>
    <t>15000000-8 - Продукти харчування, напої, тютюн та супутня продукція</t>
  </si>
  <si>
    <t>03000000-1 - Сільськогосподарська, фермерська продукція, продукція рибальства, лісівництва та супутня продукція</t>
  </si>
  <si>
    <t>Вид продукції</t>
  </si>
  <si>
    <t xml:space="preserve">Кількість </t>
  </si>
  <si>
    <t>Ціна за од., грн.</t>
  </si>
  <si>
    <t>Вартість, грн.</t>
  </si>
  <si>
    <t>Молоко</t>
  </si>
  <si>
    <t>15510000-6</t>
  </si>
  <si>
    <t>Молоко та вершки</t>
  </si>
  <si>
    <t>Цибуля</t>
  </si>
  <si>
    <t>03220000-9</t>
  </si>
  <si>
    <t>Овочі, фрукти та горіхи</t>
  </si>
  <si>
    <t>Горох</t>
  </si>
  <si>
    <t>15330000-0</t>
  </si>
  <si>
    <t>Оброблені фрукти та овочі</t>
  </si>
  <si>
    <t>Крупа ячна</t>
  </si>
  <si>
    <t>15610000-7</t>
  </si>
  <si>
    <t>Продукція борошномельно-круп'яної промисловості</t>
  </si>
  <si>
    <t>Крупа перлова</t>
  </si>
  <si>
    <t>Крупа манна</t>
  </si>
  <si>
    <t>Борошно</t>
  </si>
  <si>
    <t>Вівсянка</t>
  </si>
  <si>
    <t>Крупа арнаутка</t>
  </si>
  <si>
    <t>Крупа гречана</t>
  </si>
  <si>
    <t>Рис</t>
  </si>
  <si>
    <t>Печиво</t>
  </si>
  <si>
    <t>15610000-8</t>
  </si>
  <si>
    <t>Сухарі та печиво; пресерви з хлібобулочних і кондитерських виробів</t>
  </si>
  <si>
    <t>Хліб</t>
  </si>
  <si>
    <t>15810000-9</t>
  </si>
  <si>
    <t>Хлібопродукти, свіжовипечені хлібобулочні та кондитерські вироби</t>
  </si>
  <si>
    <t>Пшоно</t>
  </si>
  <si>
    <t>Лимонна кислота</t>
  </si>
  <si>
    <t>15870000-7</t>
  </si>
  <si>
    <t>Заправки та приправи</t>
  </si>
  <si>
    <t>Яйце</t>
  </si>
  <si>
    <t>03140000-4</t>
  </si>
  <si>
    <t>Продукція тваринництва та супутня продукція</t>
  </si>
  <si>
    <t>Курятина</t>
  </si>
  <si>
    <t>15110000-2</t>
  </si>
  <si>
    <t>М’ясо</t>
  </si>
  <si>
    <t xml:space="preserve">Олiя </t>
  </si>
  <si>
    <t>15420000-8</t>
  </si>
  <si>
    <t>Рафіновані олії та жири</t>
  </si>
  <si>
    <t>Масло</t>
  </si>
  <si>
    <t>15530000-2</t>
  </si>
  <si>
    <t>Вершкове масло</t>
  </si>
  <si>
    <t>Цукор</t>
  </si>
  <si>
    <t>15831000-2</t>
  </si>
  <si>
    <t>Макарони</t>
  </si>
  <si>
    <t>15850000-1</t>
  </si>
  <si>
    <t>Макаронні вироби</t>
  </si>
  <si>
    <t>Чай чорний</t>
  </si>
  <si>
    <t>15860000-4</t>
  </si>
  <si>
    <t>Кава, чай та супутня продукція</t>
  </si>
  <si>
    <t>Лавровий лист</t>
  </si>
  <si>
    <t>Сiль</t>
  </si>
  <si>
    <t>Дрiждi</t>
  </si>
  <si>
    <t>15890000-3</t>
  </si>
  <si>
    <t>Продукти харчування та сушені продукти різні</t>
  </si>
  <si>
    <t>Буряк</t>
  </si>
  <si>
    <t>Капуста</t>
  </si>
  <si>
    <t>Морква</t>
  </si>
  <si>
    <t>Крупа пшенична</t>
  </si>
  <si>
    <t>Сардельки</t>
  </si>
  <si>
    <t>15130000-8</t>
  </si>
  <si>
    <t>М’ясопродукти</t>
  </si>
  <si>
    <t xml:space="preserve">15220000-6 </t>
  </si>
  <si>
    <t>Риба, рибне філе та інше м’ясо риби морожені</t>
  </si>
  <si>
    <t>Картопля</t>
  </si>
  <si>
    <t>Свинина</t>
  </si>
  <si>
    <t xml:space="preserve">Риба </t>
  </si>
  <si>
    <t>Номенклатура</t>
  </si>
  <si>
    <t>Виробник</t>
  </si>
  <si>
    <t>Кількість</t>
  </si>
  <si>
    <t>Ціна відп. Без ПДВ</t>
  </si>
  <si>
    <t>С/відп б пдв</t>
  </si>
  <si>
    <t>ПРОЗЕРИН-ДАРНИЦЯ р-н д/ін. 0,5 мг/мл амп. 1 мл №10(!!!)</t>
  </si>
  <si>
    <t>Дарниця ФФ ПрАТ (Україна, Київ)</t>
  </si>
  <si>
    <t>паков</t>
  </si>
  <si>
    <t>ДЕКСАМЕТАЗОН-ДАРНИЦЯ  р-н д/ін. 4 мг/мл амп. 1 мл №10 (!!!)</t>
  </si>
  <si>
    <t>ДИКЛОФЕНАК-ДАРНИЦЯ р-н д/ін. 25 мг/мл амп. 3 мл №10(***)</t>
  </si>
  <si>
    <t>КЕТОЛОНГ-ДАРНИЦЯ® р-н д/ін. 30 мг/мл амп. 1 мл №10</t>
  </si>
  <si>
    <t>ПАРАЦЕТАМОЛ-ДАРНИЦЯ табл. 500 мг №10</t>
  </si>
  <si>
    <t>АНАЛЬГІН-ДАРНИЦЯ  р-н д/ін. 500 мг/мл амп. 2 мл, контурн. чарунк. yп., пачка №10</t>
  </si>
  <si>
    <t>ЛІДОКАЇН-ДАРНИЦЯ  р-н д/ін. 2 % амп. 2 мл №10 (!!!)</t>
  </si>
  <si>
    <t>МАГНІЮ СУЛЬФАТ-ДАРНИЦЯ р-н д/ін. 25 % амп. 5 мл №10 (!!!)</t>
  </si>
  <si>
    <t>МАГНІЮ СУЛЬФАТ-ДАРНИЦЯ р-н д/ін. 25 % амп. 10 мл №10 (!!!)</t>
  </si>
  <si>
    <t>ПЕНТОКСИФІЛІН-ДАРНИЦЯ р-н д/ін. 20 мг/мл амп. 5 мл №10(***)</t>
  </si>
  <si>
    <t>ЕУФІЛІН-ДАРНИЦЯ розчин для ін'єкцій, 20 мг/мл по 5 мл в ампулі №10(***)</t>
  </si>
  <si>
    <t>Сульпірид-зн р-н д/ін. 50 мг/мл амп. 2 мл, у блістері в коробці №10</t>
  </si>
  <si>
    <t>Здоров'я народу ТОВ (Україна, Харків)</t>
  </si>
  <si>
    <t>АМІНАЗИН розчин для ін'єкцій, 25 мг/мл по 2 мл у ампулі №10(***)(!!!)</t>
  </si>
  <si>
    <t>Галичфарм АТ</t>
  </si>
  <si>
    <t>ДІАЛІПОН® р-н д/інф. 3 % амп. 20 мл №5</t>
  </si>
  <si>
    <t>Фармак АТ (Україна, Київ)</t>
  </si>
  <si>
    <t>ДЕПОС сусп. д/ін. 7 мг/1мл амп. 1 мл, блістер у пачці №5</t>
  </si>
  <si>
    <t>РЕВМОКСИКАМ® р-н д/ін. 1 % амп. 1,5 мл №5</t>
  </si>
  <si>
    <t>БАКЛОФЕН таблетки по 10 мг № 50 у флаконах</t>
  </si>
  <si>
    <t>Польфарма  (Польща)</t>
  </si>
  <si>
    <t>ДИМЕДРОЛ-ДАРНИЦЯ  р-н д/ін. 10 мг/мл амп. 1 мл, контурн. чарунк. yп., пачка №10</t>
  </si>
  <si>
    <t>КСЕФОКАМ®  пор. д/р-ну д/ін. 8 мг фл. №5</t>
  </si>
  <si>
    <t>Такеда Австрія (Австрія)</t>
  </si>
  <si>
    <t>ЦЕФТРИАКСОН-ДАРНИЦЯ порошок для розчину для ін'єкцій по 1,0 г у флаконі №1 (!!!)</t>
  </si>
  <si>
    <t>флак</t>
  </si>
  <si>
    <t>ЦІАНОКОБАЛАМІН-ДАРНИЦЯ (ВІТАМІН В12-ДАРНИЦЯ) р-н д/ін. 0,5 мг/мл амп. 1 мл №10(***) (!!!)</t>
  </si>
  <si>
    <t>ЦІАНОКОБАЛАМІН-ДАРНИЦЯ (ВІТАМІН В12-ДАРНИЦЯ) р-н д/ін. 0,2 мг/мл амп. 1 мл №10(***) (!!!)</t>
  </si>
  <si>
    <t>ТІАМІНУ ХЛОРИД-ДАРНИЦЯ (ВІТАМІН В1-ДАРНИЦЯ) р-н д/ін. 50 мг/мл амп. 1 мл, контурн. чарунк. yп., пачка №10</t>
  </si>
  <si>
    <t>ПІРИДОКСИН-ДАРНИЦЯ (ВІТАМІН В6-ДАРНИЦЯ) р-н д/ін. 50 мг/мл амп. 1 мл №10(***)</t>
  </si>
  <si>
    <t>АСКОРБІНОВА КИСЛОТА-ДАРНИЦЯ  р-н д/ін. 50 мг/мл амп. 2 мл, контурн. чарунк. yп., пачка №10(***)</t>
  </si>
  <si>
    <t>ФУРОСЕМІД-ДАРНИЦЯ р-н д/ін. 10 мг/мл амп. 2 мл №10(!!!)</t>
  </si>
  <si>
    <t>ПРЕДНІЗОЛОН-ДАРНИЦЯ  р-н д/ін. 30 мг/мл амп. 1 мл, контурн. чарунк. yп., пачка №5 (!!!)</t>
  </si>
  <si>
    <t>Папаверин-дарниця р-н д/ін. 20 мг/мл амп. 2 мл, контурн. чарунк. yп., пачка №10(***)</t>
  </si>
  <si>
    <t>ПЛАТИФІЛІН-ДАРНИЦЯ  р-н д/ін. 2 мг/мл амп. 1 мл, контурн. чарунк. yп., пачка №10(***)</t>
  </si>
  <si>
    <t>АСПАРКАМ  р-н д/ін. амп. 10 мл, блістер у пачці №10</t>
  </si>
  <si>
    <t>ЛАРФІКС табл. в/о 8 мг блістер №100</t>
  </si>
  <si>
    <t>Кусум Хелтхкер  (Індія)</t>
  </si>
  <si>
    <t>НАПРОФФ табл. в/плівк. обол. 550 мг блістер №10</t>
  </si>
  <si>
    <t>Уорлд Медицин (Туреччина)</t>
  </si>
  <si>
    <t>ТРОМБОНЕТ®-ФАРМАК таблетки, вкриті плівковою оболонкою, по 75 мг №30</t>
  </si>
  <si>
    <t>Сульпірид-зн табл. 50 мг блістер №30</t>
  </si>
  <si>
    <t>КВЕТИРОН табл. в/плівк. обол. 25 мг №30</t>
  </si>
  <si>
    <t>Фарма Старт ТОВ (Україна, Київ)</t>
  </si>
  <si>
    <t>ЗОПІКЛОН таблетки по 7,5 мг №10 (10х1)</t>
  </si>
  <si>
    <t>Лубнифарм АТ (Україна, Лубни)</t>
  </si>
  <si>
    <t>Прегабалін-Дарниця капс. 75 мг контурн. чарунк. уп. №14</t>
  </si>
  <si>
    <t>ЕБРАНТИЛ розчин для ін'єкцій, 5 мг/мл  по 10 мл (50 мг) в ампулі №5</t>
  </si>
  <si>
    <t>РЕЗОГЛОБІН розчин для ін’єкцій, 1500 МО (300 мкг імуноглобуліну) по 1 мл в ампулі, по 1 ампулі в пачці з маркуванням українською та російською мовами</t>
  </si>
  <si>
    <t>ФЗ "Біофарма" ТОВ (Україна, Біла Церква)</t>
  </si>
  <si>
    <t>ЦЕФУРОКСИМ-ДАРНИЦЯ порошок для розчину для ін’єкцій по 0,75 г фл. №1</t>
  </si>
  <si>
    <t>Аміаку розчин 10% р-н д/зовн. застос. 10 % фл. 40 мл, тм Аметрин</t>
  </si>
  <si>
    <t>Віола Україна</t>
  </si>
  <si>
    <t>ВОДА ДЛЯ ІН'ЄКЦІЙ-ДАРНИЦЯ розч-к д/п р-ну д/ін 2 мл амп. пачка №10(!!!) (***)</t>
  </si>
  <si>
    <t>ВОДА ДЛЯ ІН'ЄКЦІЙ-ДАРНИЦЯ розч-к д/п р-ну д/ін 5 мл амп. пачка №10(!!!) (***)</t>
  </si>
  <si>
    <t>ГЕМОТРАН р-н д/ін. 50 мг/мл амп. 10 мл №10</t>
  </si>
  <si>
    <t>ГЕМОТРАН® розчин для ін'єкцій 50 мг/мл амп. 5 мл №10</t>
  </si>
  <si>
    <t>КАРБЕТОЦИН  р-н д/ін. 100 мкг/мл фл. 1 мл №5</t>
  </si>
  <si>
    <t>Фармідея (Латвія)</t>
  </si>
  <si>
    <t>шт</t>
  </si>
  <si>
    <t>ДЕКСПРО  р-н д/ін. 50 мг/2 мл амп. 2 мл, контурн. чарунк. уп. №5</t>
  </si>
  <si>
    <t>МЕТОКЛОПРАМІД-ДАРНИЦЯ р-н д/ін. 5 мг/мл амп. 2 мл №10(!!!)(***)</t>
  </si>
  <si>
    <t>ОКСИТОЦИН-БІОЛІК р-н д/ін, 5 МО/мл 1 мл в ампулі №10 (!!!)</t>
  </si>
  <si>
    <t>Фармстандарт-Биолек (Україна)</t>
  </si>
  <si>
    <t>ЦЕФАЗОЛІН пор. д/ р-ну д/ ін. 1 г фл.  №10 (!!!)</t>
  </si>
  <si>
    <t>Київмедпрепарат АТ</t>
  </si>
  <si>
    <t>ЦЕФОТАКСИМ-ДАРНИЦЯ пор. д/р-ну д/ін. 1 г фл. №1</t>
  </si>
  <si>
    <t>ФЛЕНОКС® розчин для ін`єкцій, 10000 анти-Ха МО/мл; по 30000 анти-Ха МО/3 мл у багатодозовому флаконі, по 1 флакону у пачці</t>
  </si>
  <si>
    <t>Амлодипін-дарниця табл. 5 мг контурн. чарунк. уп., в пачці №20 #</t>
  </si>
  <si>
    <t>АДРЕНАЛІН-ДАРНИЦЯ розчин для ін'єкцій, 1,82 мг/мл, по 1 мл в ампулі, №10(!!!)</t>
  </si>
  <si>
    <t>ГЕПАРИН-НОВОФАРМ розчин для ін'єкцій, 5000 МО/мл по 5 мл у флаконі №5 (!!!)</t>
  </si>
  <si>
    <t>Новофарм-Біосинтез ТОВ (Україна, Новоград-Волинський)</t>
  </si>
  <si>
    <t>ГЛЮКОЗА-ДАРНИЦЯ розчин для ін'єкцій, 400 мг/мл 20 мл в ампулі №10 (!!!)</t>
  </si>
  <si>
    <t>ДОФАМІН-ДАРНИЦЯ конц. д/р-ну д/інф. 40 мг/мл амп. 5 мл, контурн. чарунк. yп., пачка №10(!!!)</t>
  </si>
  <si>
    <t>АРИТМІЛ розчин для ін'єкцій, 50 мг/мл по 3 мл в ампулі №5 (!!!)</t>
  </si>
  <si>
    <t>Борщагівський ХФЗ ПАТ (Україна, Київ)</t>
  </si>
  <si>
    <t>КАПТОПРИЛ табл. 25 мг №20, тм Аметрин</t>
  </si>
  <si>
    <t>Астрафарм ТОВ (Україна, Вишневе)</t>
  </si>
  <si>
    <t>ДРОТАВЕРИН-ДАРНИЦЯ розчин для ін'єкцій, 20 мг/мл амп. 2 мл №5 (!!!)</t>
  </si>
  <si>
    <t>ОМЕПРАЗОЛ -ТЕВА капс. гастрорезист. 40 мг блистер №30</t>
  </si>
  <si>
    <t>Тева Фарма (Іспанія)</t>
  </si>
  <si>
    <t>ОМЕПРАЗОЛ-ДАРНИЦЯ капсули по 20 мг №10 (***) (!!!)</t>
  </si>
  <si>
    <t>Омепразол Астра пор. д/р-ра д/ин. 40 мг фл. №1</t>
  </si>
  <si>
    <t>КВАДРОЦЕФ® порошок для розчину для ін'єкцій по 1 г; 1 флакон з порошком у пачці</t>
  </si>
  <si>
    <t>ЦЕФТУМ®  пор. д/п ін. р-ну 1 г фл. №10 (!!!)</t>
  </si>
  <si>
    <t>ІРБЕТАН-Н табл. 300 мг/12,5 мг блістер №30</t>
  </si>
  <si>
    <t>Київський вітамінний завод АТ (Україна, Київ)</t>
  </si>
  <si>
    <t>БІСОПРОЛ® таблетки по 5 мг №30 # (!!!)</t>
  </si>
  <si>
    <t>ІРБЕТАН табл. 300 мг №20</t>
  </si>
  <si>
    <t>ПРЕВЕНТОР таблетки, вкриті плівковою оболонкою, по 10 мг №30 (10х3)</t>
  </si>
  <si>
    <t>ХУМОДАР® Р 100Р розчин для ін'єкцій, 100 МО/мл по 10 мл у флаконі, №1(***)(!!!)</t>
  </si>
  <si>
    <t>Індар ПрАТ (Україна, Київ)</t>
  </si>
  <si>
    <t>СИДОКАРД табл. 2 мг блістер, у пачці, №30</t>
  </si>
  <si>
    <t>Торасемід-Дарниця табл. 10 мг контурн. чарунк. уп., в пачці №30</t>
  </si>
  <si>
    <t>ЗОЛОПЕНТ® табл. в/о 40 мг №30</t>
  </si>
  <si>
    <t>Кусум Фарм ТОВ (Україна, Суми)</t>
  </si>
  <si>
    <t>КЛОСАРТ® таблетки, вкриті плівковою оболонкою, по 50 мг №28 #</t>
  </si>
  <si>
    <t>НЕБІВОЛОЛ-ДАРНИЦЯ табл. 5 мг контурн. чарунк. уп. №28</t>
  </si>
  <si>
    <t>КОРВАЗАН® табл. в/плівк. обол. 12,5 мг №30# (!!!)</t>
  </si>
  <si>
    <t>АМЛОСАРТАН таблетки, вкриті плівковою оболонкою, 5 мг/160 мг №30</t>
  </si>
  <si>
    <t>КАРДІО-ДАР® таблетки, вкриті плівковою оболонкою, по 75 мг контейнер №100</t>
  </si>
  <si>
    <t>НАТРІЮ ХЛОРИД - ДАРНИЦЯ розчин для ін'єкцій, 9 мг/мл, по 5 мл в ампулі №10(!!!)(***)</t>
  </si>
  <si>
    <t>ЕПЛЕТОР табл. в/плівк. обол. 50 мг №30</t>
  </si>
  <si>
    <t>ЦЕФТРАКТАМ  пор. д/р-ну д/ін. 1500 мг фл. у пачці №1</t>
  </si>
  <si>
    <t>МЕПЕНАМ порошок для розчину для ін'єкцій по 1,0 г у флаконі №1</t>
  </si>
  <si>
    <t>ГЕНТАМІЦИНУ СУЛЬФАТ-ДАРНИЦЯ розчин для ін'єкцій, 40 мг/мл, по 2 мл в ампулі №10(!!!)</t>
  </si>
  <si>
    <t>ЛІНКОМІЦИН-ДАРНИЦЯ р-н д/ін. 30 % амп. 2 мл №10</t>
  </si>
  <si>
    <t>ЦИПРОФЛОКСАЦИН табл. в/о 500 мг №10</t>
  </si>
  <si>
    <t>Технолог ПрАТ (Україна, Умань)</t>
  </si>
  <si>
    <t>РИФАМПІЦИН капс. 150 мг контурн. чарунк. уп. №20(***)(!!!)</t>
  </si>
  <si>
    <t>СТРЕПТОЦИД-ДАРНИЦЯ табл. 300 мг контурн. чарунк. уп. №10</t>
  </si>
  <si>
    <t>НІФУРОКСАЗИД капсули по 200 мг блістер, тм Аметрин №20</t>
  </si>
  <si>
    <t>Житомирська ФФ ТОВ (Україна, Станишівка)</t>
  </si>
  <si>
    <t>РЕОПОЛІГЛЮКІН р-н інф. пляшка 200 мл</t>
  </si>
  <si>
    <t>ЮРІЯ-ФАРМ ТОВ м.Київ</t>
  </si>
  <si>
    <t>ТУРУСОЛ® р-н іригац. контейнер 3000 мл</t>
  </si>
  <si>
    <t>Амінокапронова кислота р-н д/інф. 50 мг/мл пляшка 100 мл</t>
  </si>
  <si>
    <t>НОВОКАЇН  р-н д/ін. 5 мг/мл пляшка 200 мл</t>
  </si>
  <si>
    <t>НОВОКАЇН-ДАРНИЦЯ р-н д/ін. 5 мг/мл амп. 5 мл №10</t>
  </si>
  <si>
    <t>ІБУПРОФЕН-ДАРНИЦЯ табл. 200 мг контурн. чарунк. уп., в пачці №50 (!!!)</t>
  </si>
  <si>
    <t>НІМЕДАР® таблетки по 100 мг №30 (10х3)</t>
  </si>
  <si>
    <t>АТРОПІН-ДАРНИЦЯ® розчин для ін'єкцій, 1 мг/мл, амп. 1 мл №10(!!!)</t>
  </si>
  <si>
    <t>РЕНАЛГАН® р-н д/ін. амп. 5 мл №5</t>
  </si>
  <si>
    <t>Лекхім-Харків ПрАТ (Україна, Харків)</t>
  </si>
  <si>
    <t>ОНДАНСЕТРОН розчин для ін'єкцій, 2 мг/мл по 4 мл в ампулі №5</t>
  </si>
  <si>
    <t>ОНДАНСЕТРОН розчин для ін'єкцій, 2 мг/мл по 2 мл в ампулі, №5 (!!!)</t>
  </si>
  <si>
    <t>АЦЕТИЛСАЛІЦИЛОВА КИСЛОТА-ДАРНИЦЯ табл. 500 мг контурн. чарунк. уп. №10(***)(!!!)</t>
  </si>
  <si>
    <t>НІКОТИНОВА КИСЛОТА-ДАРНИЦЯ р-н д/ін. 10 мг/мл амп. 1 мл №10</t>
  </si>
  <si>
    <t>ПІРАЦЕТАМ-ДАРНИЦЯ  р-н д/ін. 200 мг/мл амп. 5 мл, контурн. чарунк. yп., пачка №10</t>
  </si>
  <si>
    <t>ТІОЦЕТАМ® р-н д/ін. амп. 5 мл №10</t>
  </si>
  <si>
    <t>КАЛЬЦІЮ ХЛОРИД-ДАРНИЦЯ розчин для ін'єкцій, 100 мг/мл амп. 10 мл №10(***)</t>
  </si>
  <si>
    <t>ДИБАЗОЛ-ДАРНИЦЯ р-н д/ін. 10 мг/мл амп. 5 мл, контурн. чарунк. yп., пачка №10</t>
  </si>
  <si>
    <t>ФЛЕНОКС® розчин для ін'єкцій, 10000 анти-Ха МО/мл шприц 0,4 мл (4000 анти-Ха МО) блістер №10 (!!!)</t>
  </si>
  <si>
    <t>ЕТАМЗИЛАТ р-н д/ін. 12,5 % амп. 2 мл №10</t>
  </si>
  <si>
    <t>ГНЦЛС</t>
  </si>
  <si>
    <t>Амброксол-Лубныфарм р-р д/инф.7,5мг/мл амп. 2мл №10</t>
  </si>
  <si>
    <t>ГЕМОТРАН® розчин для ін'єкцій, 100 мг/мл, по 5 мл  в ампулі №5 (!!!)</t>
  </si>
  <si>
    <t>АСКОРБІНОВА КИСЛОТА-ДАРНИЦЯ р-н д/ін. 100 мг/мл амп. 2 мл, контурн. чарунк. yп., пачка №10</t>
  </si>
  <si>
    <t>ХЛОРОПІРАМІНУ ГІДРОХЛОРИД розчин для ін'єкцій, 20 мг/мл по 1 мл №5(***)</t>
  </si>
  <si>
    <t>ЛОРАТАДИН-ДАРНИЦЯ табл. 10 мг контурн. чарунк. уп. №10(***) (!!!)</t>
  </si>
  <si>
    <t>ТРІОМБРАСТ® р-н д/ін. 76 % амп. 20 мл №5</t>
  </si>
  <si>
    <t>АТРАКУРІУМ-НОВО розчин для ін'єкцій, 10 мг/мл  по 5 мл у флаконах № 5(!!!)</t>
  </si>
  <si>
    <t>АТРАКУРІУМ-НОВО розчин для ін'єкцій, 10 мг/мл по 2,5 мл  у флаконах № 5 (!!!)</t>
  </si>
  <si>
    <t>БЕНЗОГЕКСОНІЙ-ЗДОРОВ'Я розчин для ін'єкцій, 25 мг/мл по 1 мл в ампулах № 10</t>
  </si>
  <si>
    <t>Здоров'я ФК ТОВ (Україна, Харків)</t>
  </si>
  <si>
    <t>Бупівакаїн спінал р-н д/ін. 5 мг/мл амп. 4 мл, контурн. чарунк. уп. №5</t>
  </si>
  <si>
    <t>НОВОСТЕЗИН  р-н д/ін. 5 мг/мл фл. 5 мл №10 (!!!)</t>
  </si>
  <si>
    <t>НОВОСТЕЗИН  р-н д/ін. 5 мг/мл фл. 20 мл №5 (!!!)</t>
  </si>
  <si>
    <t>ДИТИЛІН-ДАРНИЦЯ розчин для ін'єкцій, 20 мг/мл по 5 мл в ампулі №10 (!!!)</t>
  </si>
  <si>
    <t>НАЛОКСОН-ЗН р-н д/ін. 0,4 мг/мл амп. 1 мл, коробка №10 (!!!)</t>
  </si>
  <si>
    <t>НАТРІЮ ТІОСУЛЬФАТ-ДАРНИЦЯ розчин для ін'єкцій, 300 мг/мл по 5 мл в ампулі №10</t>
  </si>
  <si>
    <t>ДИПРОФОЛ® ЕДТА  емул. д/інф. 10 мг/мл амп. 20 мл №5 (!!!)</t>
  </si>
  <si>
    <t>ПРОПОФОЛ-НОВО емульсія для інфузій, 10 мг/мл по 20 мл у пляшках № 5 (!!!)</t>
  </si>
  <si>
    <t>ПРОПОФОЛ-НОВО емульсія для інфузій, 10 мг/мл по 50 мл у пляшках № 1 (!!!)</t>
  </si>
  <si>
    <t>ТІОПЕНТАЛ ліофілізат для розчину для ін'єкцій по 1,0 г у флаконах(!!!)</t>
  </si>
  <si>
    <t>Паноцид пор. д/р-ну д/ін. 40 мг фл., у картонній упаковці №1</t>
  </si>
  <si>
    <t>Лаб. Реіг Жофре, С.А. (Іспанія)</t>
  </si>
  <si>
    <t>ТОРСИД®  р-н д/ін. 5 мг/мл амп. 4 мл, в пачці №5</t>
  </si>
  <si>
    <t>пач</t>
  </si>
  <si>
    <t>КАЛЬЦІЮ ГЛЮКОНАТ-ДАРНИЦЯ (СТАБІЛІЗОВАНИЙ) р-н д/ін. 100 мг/мл амп. 5 мл, коробка №10(***)</t>
  </si>
  <si>
    <t>ВЕРАПАМІЛ-ДАРНИЦЯ  р-н д/ін. 2,5 мг/мл амп. 2 мл, контурн. чарунк. yп., пачка №10 (!!!)</t>
  </si>
  <si>
    <t>Парацетамол Paracetamol</t>
  </si>
  <si>
    <t>ІНФУЛГАН розчин для інфузій 10 мг/мл, по 100 мл</t>
  </si>
  <si>
    <t>пляшка</t>
  </si>
  <si>
    <t>Натрію хлорид  Sodium chloride</t>
  </si>
  <si>
    <t>Натрію хлорид 9мг/мл по 400мл розчин для інфузій у пляшках скляних</t>
  </si>
  <si>
    <t>НАТРІЮ ХЛОРИД розчин для інфузій, 9 мг/мл, по 200 мл  у пляшках скляних</t>
  </si>
  <si>
    <t>НАТРІЮ ХЛОРИД розчин для інфузій, 9 мг/мл, по 100 мл у пляшках скляних</t>
  </si>
  <si>
    <t>НАТРІЮ ХЛОРИД розчин для ін'єкцій, 9 мг/мл, по 5 мл №10</t>
  </si>
  <si>
    <t>пачка</t>
  </si>
  <si>
    <t>Electrolytes in combination with other drugs</t>
  </si>
  <si>
    <t>РЕОСОРБІЛАКТ® розчин для інфузій, по 200 мл у пляшках скляних</t>
  </si>
  <si>
    <t>Mannitol</t>
  </si>
  <si>
    <t>МАНІТ розчин для інфузій, 150 мг/мл, по 200 мл у пляшках</t>
  </si>
  <si>
    <t>Пентоксифілін Pentoxifylline</t>
  </si>
  <si>
    <t>ЛАТРЕН® розчин для інфузій, 0,5 мг/мл, по 200 мл у пляшках</t>
  </si>
  <si>
    <t>РЕОПОЛІГЛЮКІН розчин для інфузій, по 200 мл у пляшках</t>
  </si>
  <si>
    <t>НЕЙРОЦИТИН® розчин для інфузій, по 100 мл у пляшці; по 1 пляшці в пачці</t>
  </si>
  <si>
    <t>Левофлоксацин Levofloxacin</t>
  </si>
  <si>
    <t xml:space="preserve">ЛЕФЛОЦИН® розчин для інфузій, 5 мг/мл, по 100 мл </t>
  </si>
  <si>
    <t xml:space="preserve">ЛЕФЛОЦИН® розчин для інфузій, 5 мг/мл, по 150 мл </t>
  </si>
  <si>
    <t>Метронідазол Metronidazole</t>
  </si>
  <si>
    <t>МЕТРОНІДАЗОЛ розчин для інфузій, 5 мг/мл, по 100 мл у пляшках скляних</t>
  </si>
  <si>
    <t>Глюкоза Glucose</t>
  </si>
  <si>
    <t>ГЛЮКОЗА розчин для інфузій 50 мг/мл, по 400 мл у пляшках скляних</t>
  </si>
  <si>
    <t>ГЛЮКОЗА розчин для інфузій 50 мг/мл, по 200 мл у пляшках скляних</t>
  </si>
  <si>
    <t>Comb drug</t>
  </si>
  <si>
    <t>ГЕКОТОН® розчин для інфузій, по 400 мл у пляшках скляних</t>
  </si>
  <si>
    <t>Натрію гідрокарбонат    Sodium bicarbonate</t>
  </si>
  <si>
    <t>СОДА-БУФЕР® розчин для інфузій, 42 мг/мл, по 100 мл в пляшках скляних</t>
  </si>
  <si>
    <t>Гідроксіетилкрохмаль Hydroxyethylstarch</t>
  </si>
  <si>
    <t>ГЕКОДЕЗ® розчин для інфузій, 60 мг/мл, по 400 у пляшка скляних</t>
  </si>
  <si>
    <t>ГЕКОДЕЗ® розчин для інфузій, 60 мг/мл, по 200 мл у пляшка скляних</t>
  </si>
  <si>
    <t>Gelatin agents</t>
  </si>
  <si>
    <t>ВОЛЮТЕНЗ® розчин для інфузій, по 500 мл</t>
  </si>
  <si>
    <t>Натрію хлорид, калію хлорид, кальцію хлорид Comb drug</t>
  </si>
  <si>
    <t>РОЗЧИН РІНГЕРА розчин для інфузій, по 400 мл у пляшках</t>
  </si>
  <si>
    <t>Натрію хлорид, калію хлорид, натрію гідрокарбонат</t>
  </si>
  <si>
    <t>ТРИСОЛЬ розчин для інфузій, по 400 мл у пляшках</t>
  </si>
  <si>
    <t>ТРИСОЛЬ розчин для інфузій, по 200 мл у пляшках</t>
  </si>
  <si>
    <t>СОРБІЛАКТ® розчин для інфузій, по 200 мл у пляшках</t>
  </si>
  <si>
    <t>Аргініну гідрохлорид Arginine hydrochloride</t>
  </si>
  <si>
    <t>ТІВОРТІН розчин для інфузій, 42 мг/мл, по 100 мл у пляшці; по 1 пляшці у пачці</t>
  </si>
  <si>
    <t>Метамізолу натрій</t>
  </si>
  <si>
    <t>АНАЛЬГІН розчин для ін'єкцій, 500 мг/мл, по 2 мл №10</t>
  </si>
  <si>
    <t>Транексамова кислота Tranexamic acid</t>
  </si>
  <si>
    <t>САНГЕРА розчин для ін'єкцій, 100 мг/мл, по 5 мл №5</t>
  </si>
  <si>
    <t>САНГЕРА розчин для ін'єкцій, 100 мг/мл, по 10 мл №5</t>
  </si>
  <si>
    <t>Ондансетрону гідрохлориду дигідрат</t>
  </si>
  <si>
    <t>ЮНОРМ® розчин для ін'єкцій, 2,0 мг/мл по 2 мл №5</t>
  </si>
  <si>
    <t>ЮНОРМ® розчин для ін'єкцій, 4,0 мг/мл по 4 мл №5</t>
  </si>
  <si>
    <t>Магнію сульфат Magnesium sulfate</t>
  </si>
  <si>
    <t>МАГНІЮ СУЛЬФАТ розчин для ін'єкцій, 250 мг/мл, по 5 мл №10</t>
  </si>
  <si>
    <t>Сальбутамол salbutamol</t>
  </si>
  <si>
    <t>НЕБУТАМОЛ® розчин для інгаляцій, 1 мг/мл, по 2 мл №40</t>
  </si>
  <si>
    <t>Бупівакаїн</t>
  </si>
  <si>
    <t>ЛОНГОКАЇН® розчин для ін'єкцій, 5,0 мг/мл, по 5 мл №10</t>
  </si>
  <si>
    <t>ЛОНГОКАЇН ХЕВІ розчин для ін'єкцій, 5,0 мг/мл, по 5 мл №5</t>
  </si>
  <si>
    <t>Enoxaparin</t>
  </si>
  <si>
    <t>НОВОПАРИН® розчин для ін'єкцій, 100 мг (10 000 анти-фактор Ха МО)/мл, по 0,4 мл (40 мг) у попередньо наповненому шприці №10</t>
  </si>
  <si>
    <t>Ceftriaxone</t>
  </si>
  <si>
    <t>ЦЕФТРИАКСОН ЮРіЯ-ФАРМ порошок для приготування розчину для ін'єкцій 1000 мг по 1 флакону з порошком в картонній пачці</t>
  </si>
  <si>
    <t>флакон</t>
  </si>
  <si>
    <t>Cefepime</t>
  </si>
  <si>
    <t>ЦЕФЕПІМ ЮРІЯ-ФАРМ порошок для розчину для ін'єкцій, по 1000 мг, по 1 флакону з порошком в картонній коробці</t>
  </si>
  <si>
    <t>Ceftazidime</t>
  </si>
  <si>
    <t>ЦЕФТАЗИДИМ ЮРіЯ-ФАРМ порошок для розчину для ін'єкцій по 1000 мг, по 1 флакону з порошком в картонній коробці</t>
  </si>
  <si>
    <t>Cefoperazone and beta-lactamase inhibitor</t>
  </si>
  <si>
    <t>ЛАКСЕРС порошок для розчину для ін'єкцій по 1000 мг/ 1000 мг, 1 флакон з порошком у пачці</t>
  </si>
  <si>
    <t>Moxifloxacin</t>
  </si>
  <si>
    <t>МАКСІЦИН® концентрат для розчину для інфузій, 400 мг/20 мл, по 20 мл у флаконі; по 1 флакону у пачці з картону</t>
  </si>
  <si>
    <t xml:space="preserve">Омепразол Omeprazole
</t>
  </si>
  <si>
    <t>ОМЕПРАЗОЛ порошок для розчину для ін'єкцій 40 мг по 1 флакону у картонній коробці</t>
  </si>
  <si>
    <t>Прокаїн procaine</t>
  </si>
  <si>
    <t xml:space="preserve">НОВОКАЇН розчин для ін'єкцій, 2,5 мг/мл, по 200 мл </t>
  </si>
  <si>
    <t>ТУРУСОЛ® розчин для іригацій, по 3000 мл у контейнерах полімерних</t>
  </si>
  <si>
    <t>контейнер</t>
  </si>
  <si>
    <t>Кислота амінокапронова    Aminocaproic acid</t>
  </si>
  <si>
    <t>КИСЛОТА АМІНОКАПРОНОВА розчин для інфузій, 50 мг/мл, по 100 мл</t>
  </si>
  <si>
    <t>Dexketoprofen</t>
  </si>
  <si>
    <t>Кейдекс Ін'єкт, розчин для ін’єкцій, 25 мг/мл по 2 мл в ампулі №5</t>
  </si>
  <si>
    <t>ПЕНТОКСИФІЛІН розчин для ін’єкцій, 20 мг/мл, по 5 мл №10</t>
  </si>
  <si>
    <t>ВСЬОГО:</t>
  </si>
  <si>
    <t>33600000-6 Фармацевтична продукція ( Наркотичні засоби та психотропні речовини)</t>
  </si>
  <si>
    <t>33600000-6 Фармацевтична продукція (Лабораторні реактиви)</t>
  </si>
  <si>
    <t>Хімічна продукція</t>
  </si>
  <si>
    <t>24320000-3: Основні органічні хімічні речовини (спирти)</t>
  </si>
  <si>
    <t>вища категорія неврологія № 66-ос/к - 25.04.2019</t>
  </si>
  <si>
    <t>Дубровська Т.І.</t>
  </si>
  <si>
    <t>Лікар - ортопед - травматолог</t>
  </si>
  <si>
    <t>Козак О. А.</t>
  </si>
  <si>
    <t>Лікар-отоларинголог</t>
  </si>
  <si>
    <t>І категорія отоларингологія № 371-ос/к - 25.10.2018</t>
  </si>
  <si>
    <t>Малиш С. І.</t>
  </si>
  <si>
    <t>Лікар-офтальмолог</t>
  </si>
  <si>
    <t>Лікар - психіатр</t>
  </si>
  <si>
    <t>Гаврилюк І. В.</t>
  </si>
  <si>
    <t xml:space="preserve">Лікар - стоматолог </t>
  </si>
  <si>
    <t xml:space="preserve">Лікар - терапевт </t>
  </si>
  <si>
    <t>Лікар-уролог</t>
  </si>
  <si>
    <t>Лікар-хірург</t>
  </si>
  <si>
    <t xml:space="preserve">лікар-спеціаліст хірургія №415/05-і  30.06.2020 </t>
  </si>
  <si>
    <t>Карпунь В.В.</t>
  </si>
  <si>
    <t>Лікар з ультразвукової діагностики</t>
  </si>
  <si>
    <t>Галян Я.С.</t>
  </si>
  <si>
    <t>І категорія ультразвукова діагностика № 301-ос/к - 26.10.2017</t>
  </si>
  <si>
    <t>Сегеда А.В.</t>
  </si>
  <si>
    <t>Завідувач відділення , лікар - акушер - гінеколог</t>
  </si>
  <si>
    <t>вища категорія акушерство і гінекологія № 23-ос/к - 28.02.2019</t>
  </si>
  <si>
    <t>Шевчук О. М.</t>
  </si>
  <si>
    <t>Гулавська Н.А.</t>
  </si>
  <si>
    <t>Лікар - педіатр неонатолог</t>
  </si>
  <si>
    <t>Пашков В.М.</t>
  </si>
  <si>
    <t>Лікар - анестезіолог</t>
  </si>
  <si>
    <t>Лікар - педіатр</t>
  </si>
  <si>
    <t>вища категорія неврологія № 130-ос/к - 26.06.2018</t>
  </si>
  <si>
    <t>Кучмук С. О.</t>
  </si>
  <si>
    <t>Лікар - невропатолог</t>
  </si>
  <si>
    <t>Завідувач відділення , лікар - терапевт</t>
  </si>
  <si>
    <t>вища категорія терапія № 66-ос/к - 25.04.2019</t>
  </si>
  <si>
    <t>Ткачук Н.В.</t>
  </si>
  <si>
    <t>Лікар - терапевт</t>
  </si>
  <si>
    <t>Ватащук В.О.</t>
  </si>
  <si>
    <t>Завідувач відділення , лікар - хірург</t>
  </si>
  <si>
    <t>Лікар - хірург</t>
  </si>
  <si>
    <t>Гриценя М.В.</t>
  </si>
  <si>
    <t>Долішняк Р.В.</t>
  </si>
  <si>
    <t>І категорія хірургія № 23-ос/к - 28.02.2019</t>
  </si>
  <si>
    <t>Мосійчук Т.О.</t>
  </si>
  <si>
    <t>ІІ категорія хірургія № 97-ос/к - 29.06.2017</t>
  </si>
  <si>
    <t>І категорія хірургія № 49-ос/к - 28.03.2019</t>
  </si>
  <si>
    <t>Клемра В.В.</t>
  </si>
  <si>
    <t>Костів Ю.І.</t>
  </si>
  <si>
    <t>вища категорія анестезіологія № 351-ос/к - 27.09.2018</t>
  </si>
  <si>
    <t>Костюк В.Р.</t>
  </si>
  <si>
    <t>ДОПОМІЖНІ ЛІКУВАЛЬНО - ДІАГНОСТИЧНІ ПІДРОЗДІЛИ</t>
  </si>
  <si>
    <t>КЛІНІКО-ДІАГНОСТИЧНА ЛАБОРАТОРІЯ</t>
  </si>
  <si>
    <t>Завідувач лабораторії , лікар - лаборант</t>
  </si>
  <si>
    <t>вища категорія клінічна лабораторна діагностика № 33 - ос/к - 21.02.2018</t>
  </si>
  <si>
    <t>Губарєва Л. В.</t>
  </si>
  <si>
    <t>Біолог</t>
  </si>
  <si>
    <t>Карпюк Л. І.</t>
  </si>
  <si>
    <t>Лікар - рентгенолог</t>
  </si>
  <si>
    <t>ІІ рентгенологія № 58-ос/к  28.05.2020</t>
  </si>
  <si>
    <t>Шевченко Л.П.</t>
  </si>
  <si>
    <t>ФІЗІОТЕРАПЕВТИЧНЕ ВІДДІЛЕННЯ</t>
  </si>
  <si>
    <t>Завідувач відділення , лікар - фізіотерапевт</t>
  </si>
  <si>
    <t>Стецюк О.Є.</t>
  </si>
  <si>
    <t>ПРИЙМАЛЬНЕ ВІДДІЛЕННЯ</t>
  </si>
  <si>
    <t>Павленко О.Ю.</t>
  </si>
  <si>
    <t>Філюк А.В.</t>
  </si>
  <si>
    <t>Буба І.П.</t>
  </si>
  <si>
    <t>Денис А.В.</t>
  </si>
  <si>
    <t>ЗАГАЛЬНО - ЛІКАРНЯНИЙ ПЕРСОНАЛ</t>
  </si>
  <si>
    <t>Головна медична сестра (головний медичний брат)</t>
  </si>
  <si>
    <t>Росоловська Є. П.</t>
  </si>
  <si>
    <t>Сестра медична ( брат медичний ) стаціонару</t>
  </si>
  <si>
    <t>Шевчук А.Л.</t>
  </si>
  <si>
    <t>Сестра медична ( брат медичний ) з дієтичного харчування</t>
  </si>
  <si>
    <t>Березюк Л. М.</t>
  </si>
  <si>
    <t>Акушерка (акушер)</t>
  </si>
  <si>
    <t>вища категорія сестринська справа № 294- ос/к - 12.09.2019</t>
  </si>
  <si>
    <t>Шутовська І.М.</t>
  </si>
  <si>
    <t>вища категорія сестринська справа № 61-ос/к - 11.06.2020</t>
  </si>
  <si>
    <t>Філіпчук Г.Ф.</t>
  </si>
  <si>
    <t>Сестра медична (брат медичний) поліклініки (психіатричний кабінет)</t>
  </si>
  <si>
    <t>Романюк Т. П.</t>
  </si>
  <si>
    <t>Скуба С.О.</t>
  </si>
  <si>
    <t>Джусюк Л. М.</t>
  </si>
  <si>
    <t>Панасюк А. Л.</t>
  </si>
  <si>
    <t>вища категорія сестринська справа № 346-ос/к - 14.12.2017</t>
  </si>
  <si>
    <t>Побережнюк Т.М.</t>
  </si>
  <si>
    <t>вища категорія сестринська справа № 349-ос/к - 03.12.2019</t>
  </si>
  <si>
    <t>Сестра медична старша ( брат медичний старший )</t>
  </si>
  <si>
    <t>вища категорія сестринська справа № 52-ос/к - 14.05.2020</t>
  </si>
  <si>
    <t>Захарчук І.В.</t>
  </si>
  <si>
    <t>вища категорія акушерська справа № 31-ос/к - 12.03.2020</t>
  </si>
  <si>
    <t>Сидорук В. Є.</t>
  </si>
  <si>
    <t>вища категорія акушерська справа № 349-ос/к - 03.12.2019</t>
  </si>
  <si>
    <t>Ющук А. А.</t>
  </si>
  <si>
    <t>вища категорія акушерська справа № 293-ос/к - 12.10.2017</t>
  </si>
  <si>
    <t>Михалюк О. М.</t>
  </si>
  <si>
    <t>вища категорія акушерська справа № 77-ос/к - 16.05.2019</t>
  </si>
  <si>
    <t>Дудар Н.В.</t>
  </si>
  <si>
    <t>вища категорія сестринська справа № 335-ос/к - 07.11.2019</t>
  </si>
  <si>
    <t>Волянська В.В.</t>
  </si>
  <si>
    <t>І категорія сестринська справа № 322-ос/к - 23.11.2017</t>
  </si>
  <si>
    <t>Антонюк Л.П.</t>
  </si>
  <si>
    <t>вища категорія сестринська справа № 204-ос/к - 12.07.2018</t>
  </si>
  <si>
    <t>Ващук Л.В.</t>
  </si>
  <si>
    <t>вища категорія сестринська справа № 95-ос/к - 17.05.2018</t>
  </si>
  <si>
    <t>Карпук Ж. О.</t>
  </si>
  <si>
    <t>вища категорія сестринська справа № 67-ос/к - 12.04.2018</t>
  </si>
  <si>
    <t>Остапчук С. П.</t>
  </si>
  <si>
    <t>Герасимюк О.В.</t>
  </si>
  <si>
    <t>Сестра медична - анестезист ( брат медичний - анестезист )</t>
  </si>
  <si>
    <t>Березовська Н.П.</t>
  </si>
  <si>
    <t>Сестра медична ( брат медичний ) стаціонару (процедурна, процедурний )</t>
  </si>
  <si>
    <t>І категорія сестринська справа № 343-ос/к - 21.11.2019</t>
  </si>
  <si>
    <t>Виноградова О.П.</t>
  </si>
  <si>
    <t>вища категорія сестринська справа № 269-ос/к - 14.09.2017</t>
  </si>
  <si>
    <t>Яблонська О.В.</t>
  </si>
  <si>
    <t>вища категорія сестринська справа № 31-ос/к - 12.03.2020</t>
  </si>
  <si>
    <t>Вишневська В.С.</t>
  </si>
  <si>
    <t>вища категорія сестринська справа № 54-ос/к - 11.04.2019</t>
  </si>
  <si>
    <t>Волик Г. М.</t>
  </si>
  <si>
    <t>Зеленко Л. О.</t>
  </si>
  <si>
    <t>Костюк З.М.</t>
  </si>
  <si>
    <t>Лоза Н. П.</t>
  </si>
  <si>
    <t>Магдевич І.О.</t>
  </si>
  <si>
    <t>Малініна О.П.</t>
  </si>
  <si>
    <t>Пархомчук О.М.</t>
  </si>
  <si>
    <t>Савчук О.М.</t>
  </si>
  <si>
    <t>Скубюк Ю.В.</t>
  </si>
  <si>
    <t>Тимощук Ю.І.</t>
  </si>
  <si>
    <t>Бичак А.П.</t>
  </si>
  <si>
    <t>вища категорія сестринська справа № 77-ос/к - 16.05.2019</t>
  </si>
  <si>
    <t>Візітів Н.І.</t>
  </si>
  <si>
    <t>Гусар Л.І.</t>
  </si>
  <si>
    <t>І категорія сестринська справа № 363-ос/к - 22.12.2017</t>
  </si>
  <si>
    <t>Колбач А.В.</t>
  </si>
  <si>
    <t xml:space="preserve">вища категорія сестринська справа № 340-ос/к - 13.09.2018 </t>
  </si>
  <si>
    <t>Козел О.А.</t>
  </si>
  <si>
    <t>Максимюк О.В.</t>
  </si>
  <si>
    <t>вища категорія сестринська справа № 49-ос/к - 15.03.2018</t>
  </si>
  <si>
    <t>Бродосюк Л.В.</t>
  </si>
  <si>
    <t>Боярин В.А.</t>
  </si>
  <si>
    <t>Дейна А.М.</t>
  </si>
  <si>
    <t>Тучапець Т.М.</t>
  </si>
  <si>
    <t>вища категорія сестринська справа № 19-ос/к - 13.02.2020</t>
  </si>
  <si>
    <t>Шай Л.С.</t>
  </si>
  <si>
    <t>вища категорія сестринська справа № 95-ос/к - 06.06.2019</t>
  </si>
  <si>
    <t>Власюк А.М.</t>
  </si>
  <si>
    <t>Хом'ярчук Л.В.</t>
  </si>
  <si>
    <t>Панасюк Л.В.</t>
  </si>
  <si>
    <t>Сестра медична ( брат медичний ) дитячого стаціонару</t>
  </si>
  <si>
    <t>Мушка Н.Л.</t>
  </si>
  <si>
    <t>Бречко Л. П.</t>
  </si>
  <si>
    <t>вища категорія сестринська справа № 380-ос/к - 08.11.2018</t>
  </si>
  <si>
    <t>Попова Л.Л.</t>
  </si>
  <si>
    <t>вища категорія сестринська справа № 314-ос/к - 09.11.2017</t>
  </si>
  <si>
    <t>Загайна В.О.</t>
  </si>
  <si>
    <t>Ройчук Н.Л.</t>
  </si>
  <si>
    <t>Сестра медична ( брат медичний ) стаціонару (перев'язувальна, перев'язувальний )</t>
  </si>
  <si>
    <t>вища категорія сестринська справа № 362-ос/к - 11.10.2018</t>
  </si>
  <si>
    <t>Павленко Т. А.</t>
  </si>
  <si>
    <t>Троць І.Л.</t>
  </si>
  <si>
    <t>Курчинська Р.П.</t>
  </si>
  <si>
    <t>Кондратовець Н.В.</t>
  </si>
  <si>
    <t>Архипчук А. С.</t>
  </si>
  <si>
    <t>Остапчук Л. К.</t>
  </si>
  <si>
    <t>Бондарук Г. Г.</t>
  </si>
  <si>
    <t>Лаборант клінічної лабораторії</t>
  </si>
  <si>
    <t>Рудь В. А.</t>
  </si>
  <si>
    <t>вища категорія лабораторна справа (клініка) № 363-ос/к - 12.10.2018</t>
  </si>
  <si>
    <t>Котюк О.В.</t>
  </si>
  <si>
    <t>Капітанюк Л.М.</t>
  </si>
  <si>
    <t>ОПЕРАЦІЙНИЙ БЛОК</t>
  </si>
  <si>
    <t>Сестра медична операційна ( брат медичний операційний )</t>
  </si>
  <si>
    <t>Синюк А.С.</t>
  </si>
  <si>
    <t>вища категорія сестринська справа (операційна) № 336-ос/к - 07.12.2017</t>
  </si>
  <si>
    <t>Готь Т. І.</t>
  </si>
  <si>
    <t>Лясковська Н.М.</t>
  </si>
  <si>
    <t>Ковальчук В.В.</t>
  </si>
  <si>
    <t>ІІ категорія лабораторна справа (клініка) № 51-ос/к - 16.03.2018</t>
  </si>
  <si>
    <t>Шевчук І.І.</t>
  </si>
  <si>
    <t>Рентгенолаборант</t>
  </si>
  <si>
    <t>Стасюк А.В.</t>
  </si>
  <si>
    <t>Чайка М. П.</t>
  </si>
  <si>
    <t>Драганчук Р.М.</t>
  </si>
  <si>
    <t>Іщук Л.А.</t>
  </si>
  <si>
    <t>Сестра медична (брат медичний ) з фізіотерапії</t>
  </si>
  <si>
    <t>Арестович Т.Л.</t>
  </si>
  <si>
    <t>Поліщук І.В.</t>
  </si>
  <si>
    <t>вища категорія сестринська справа № 362-ос/к - 18.12.2019</t>
  </si>
  <si>
    <t>Шевчук Т.А.</t>
  </si>
  <si>
    <t>вища категорія сестринська справа № 340-ос/к - 13.09.2018</t>
  </si>
  <si>
    <t>Гацик Т. С.</t>
  </si>
  <si>
    <t>Сестра медична (брат медичний) з лікувальної фізкультури</t>
  </si>
  <si>
    <t>Сестра медична (брат медичний) з масажу</t>
  </si>
  <si>
    <t>Власюк В.П.</t>
  </si>
  <si>
    <t>Романюк Ю. Л.</t>
  </si>
  <si>
    <t>вища категорія сестринська справа № 294-ос/к - 12.09.2019</t>
  </si>
  <si>
    <t>Лоцманова Т.М.</t>
  </si>
  <si>
    <t>Белік Л. М.</t>
  </si>
  <si>
    <t>Краснопера М.Б.</t>
  </si>
  <si>
    <t>ЦЕНТРАЛІЗОВАНА СТЕРИЛІЗАЦІЙНА</t>
  </si>
  <si>
    <t>Сестра медична ( брат медичний ) (стерилізаційної)</t>
  </si>
  <si>
    <t>Луцюк Ж. П.</t>
  </si>
  <si>
    <t>ІНФОРМАЦІЙНО - АНАЛІТИЧНИЙ ВІДДІЛ</t>
  </si>
  <si>
    <t>Статистик медичний</t>
  </si>
  <si>
    <t>ІІ категорія медична статистика № 307-ос/к  21.09.2020</t>
  </si>
  <si>
    <t>І категорія медична статистика № 141-ос/к  05.07.2019</t>
  </si>
  <si>
    <t>Годлевська Л.Є.</t>
  </si>
  <si>
    <t>Молодша медична сестра (молодший медичний брат) (санітарка палатна, санітар палатний)</t>
  </si>
  <si>
    <t>Тиндюк Н. Л.</t>
  </si>
  <si>
    <t>Деменік Т. І.</t>
  </si>
  <si>
    <t>Першко В.М.</t>
  </si>
  <si>
    <t>Шкуренко Н.Г.</t>
  </si>
  <si>
    <t>Денисюк Л.А.</t>
  </si>
  <si>
    <t>Зуй С. А.</t>
  </si>
  <si>
    <t>Кондратюк Т.В.</t>
  </si>
  <si>
    <t>Маєвська Н.Б.</t>
  </si>
  <si>
    <t>Малініна Г.О.</t>
  </si>
  <si>
    <t>Осипчук Р.П.</t>
  </si>
  <si>
    <t>Романюк І.В.</t>
  </si>
  <si>
    <t>Терещук Л.М.</t>
  </si>
  <si>
    <t>Ткачук Л.Є.</t>
  </si>
  <si>
    <t>Яриніч В.А.</t>
  </si>
  <si>
    <t>Косинець Т.П.</t>
  </si>
  <si>
    <t>Майструк Ж. А.</t>
  </si>
  <si>
    <t>Давидюк О.В.</t>
  </si>
  <si>
    <t>Лесюк Л.М.</t>
  </si>
  <si>
    <t>Левчук Т.М.</t>
  </si>
  <si>
    <t>Торожнюк С.В.</t>
  </si>
  <si>
    <t>Катеринюк Т.І.</t>
  </si>
  <si>
    <t>Солодько Ж.С.</t>
  </si>
  <si>
    <t>Шевчук Л. М.</t>
  </si>
  <si>
    <t>Шадойко Т. Р.</t>
  </si>
  <si>
    <t>Мельник Н.М.</t>
  </si>
  <si>
    <t>Мельничук Л.Ю.</t>
  </si>
  <si>
    <t>Молодша медична сестра (молодший медичний брат) (санітарка , санітар)</t>
  </si>
  <si>
    <t>Савіцька О.Ф.</t>
  </si>
  <si>
    <t>Шломіна М.С.</t>
  </si>
  <si>
    <t>Московчук О.В.</t>
  </si>
  <si>
    <t>Миколайчук Л.В.</t>
  </si>
  <si>
    <t>Дем'янюк О.О.</t>
  </si>
  <si>
    <t>Белей О.Б.</t>
  </si>
  <si>
    <t>Реєстратор медичний</t>
  </si>
  <si>
    <t>Мохнюк Т. Є.</t>
  </si>
  <si>
    <t>Головний бухгалтер</t>
  </si>
  <si>
    <t>Шкробот Л.П.</t>
  </si>
  <si>
    <t>Заступник головного бухгалтера</t>
  </si>
  <si>
    <t>Бойчук О.А.</t>
  </si>
  <si>
    <t>Бухгалтер</t>
  </si>
  <si>
    <t>ІІ категорія № 88б-од - 20.12.2018</t>
  </si>
  <si>
    <t>Ляшук К.О.</t>
  </si>
  <si>
    <t>провідний № 88б-од - 20.12.2018</t>
  </si>
  <si>
    <t xml:space="preserve">Бухгалтер </t>
  </si>
  <si>
    <t>Головатчук В.М.</t>
  </si>
  <si>
    <t>Завідувач господарства</t>
  </si>
  <si>
    <t>Кучинський І.Р.</t>
  </si>
  <si>
    <t>Завідувач складу</t>
  </si>
  <si>
    <t>Скрипчук Н.М.</t>
  </si>
  <si>
    <t xml:space="preserve">Інженер - програміст </t>
  </si>
  <si>
    <t xml:space="preserve">Інженер з охорони праці </t>
  </si>
  <si>
    <t>провідний № 95а-од - 12.12.2019</t>
  </si>
  <si>
    <t>Поручник О. М.</t>
  </si>
  <si>
    <t>Інженер з ремонту (медичної техніки)</t>
  </si>
  <si>
    <t>І категорія № 95а-од - 12.12.2019</t>
  </si>
  <si>
    <t>Павлюк О.П.</t>
  </si>
  <si>
    <t>Касир</t>
  </si>
  <si>
    <t>Помічник керівника</t>
  </si>
  <si>
    <t>Самелюк О.І.</t>
  </si>
  <si>
    <t>Cтарший інспектор з кадрів</t>
  </si>
  <si>
    <t>Садовий В.М.</t>
  </si>
  <si>
    <t xml:space="preserve">Фахівець з питань цивільного захисту </t>
  </si>
  <si>
    <t>провідний № 136-од - 30.12.2016</t>
  </si>
  <si>
    <t>Іванюк Р.С.</t>
  </si>
  <si>
    <t>Юрисконсульт</t>
  </si>
  <si>
    <t>Водій автотранспортних засобів</t>
  </si>
  <si>
    <t>3 класн.</t>
  </si>
  <si>
    <t>Андросюк Л.Л.</t>
  </si>
  <si>
    <t xml:space="preserve">Антонюк Р.О. </t>
  </si>
  <si>
    <t>1 класн.</t>
  </si>
  <si>
    <t>Петроченко А.В.</t>
  </si>
  <si>
    <t>Електромонтер з ремонту та обслуговування електроустаткування</t>
  </si>
  <si>
    <t>Гайда Б.В.</t>
  </si>
  <si>
    <t>Кухар</t>
  </si>
  <si>
    <t>V розряд № 95а-од - 12.12.2019</t>
  </si>
  <si>
    <t>Ярмолюк Н.П.</t>
  </si>
  <si>
    <t>Карпюк Н. А.</t>
  </si>
  <si>
    <t>Кухонний робітник</t>
  </si>
  <si>
    <t>Ткачук Д.В.</t>
  </si>
  <si>
    <t>Мизернюк С.П.</t>
  </si>
  <si>
    <t>Ліфтер</t>
  </si>
  <si>
    <t>Глинюк Н.В.</t>
  </si>
  <si>
    <t>Машиніст насосних установок</t>
  </si>
  <si>
    <t>ІV розряд № 95а-од - 12.12.2019</t>
  </si>
  <si>
    <t>Євчук В. С.</t>
  </si>
  <si>
    <t>Монтажник санітарно-технічних систем і устаткування</t>
  </si>
  <si>
    <t>Прибиральник службових приміщень</t>
  </si>
  <si>
    <t>Козачук С.Б.</t>
  </si>
  <si>
    <t>Пахля К.М.</t>
  </si>
  <si>
    <t>Прибиральник територій</t>
  </si>
  <si>
    <t>Халімон В.Б.</t>
  </si>
  <si>
    <t>Робітник з комплексного обслуговування й ремонту будинків</t>
  </si>
  <si>
    <t>Олексюк В.Є.</t>
  </si>
  <si>
    <t>Машиніст (кочегар) котельні</t>
  </si>
  <si>
    <t xml:space="preserve">Головний бухгалтер     </t>
  </si>
  <si>
    <t>Члени комісії</t>
  </si>
  <si>
    <t>(03368) 21248</t>
  </si>
  <si>
    <t>Разом</t>
  </si>
  <si>
    <t xml:space="preserve"> Інші витрати на оплату праці (не включені до ШР, нічні,святкові)</t>
  </si>
  <si>
    <t xml:space="preserve"> Інші види заохочень та стимулювань</t>
  </si>
  <si>
    <t>ВСЬОГО ФОНД ОПЛАТИ ПРАЦІ</t>
  </si>
  <si>
    <t>НАРАХУВАННЯ НА ОПЛАТУ ПРАЦІ</t>
  </si>
  <si>
    <t>РАЗОМ</t>
  </si>
  <si>
    <t>Штатні посади</t>
  </si>
  <si>
    <t>___________</t>
  </si>
  <si>
    <t>інший операційний дохід</t>
  </si>
  <si>
    <t>інші доходи</t>
  </si>
  <si>
    <t>тариф за 1 кВт  на початок кварталу, грн.</t>
  </si>
  <si>
    <t>очікуваний обсяг споживання електроенергії у відповідному кварталі, кВт</t>
  </si>
  <si>
    <t>тариф за 1 кВт на початок кварталу, грн.</t>
  </si>
  <si>
    <t>витрати на розподіл електроенергії , грн.</t>
  </si>
  <si>
    <t>витрати на електроенергію за  тарифом, грн.</t>
  </si>
  <si>
    <t>січень</t>
  </si>
  <si>
    <t>липень</t>
  </si>
  <si>
    <t>Матеріальні витрати</t>
  </si>
  <si>
    <t>Лікарські засоби</t>
  </si>
  <si>
    <t xml:space="preserve">Кров та її компоненти </t>
  </si>
  <si>
    <t>Вироби медичного призначення та допоміжні засоби тощо</t>
  </si>
  <si>
    <t>Імунобіологічні препарати</t>
  </si>
  <si>
    <t>Лікувальне харчування</t>
  </si>
  <si>
    <t>Дезинфекційні засоби</t>
  </si>
  <si>
    <t>Засоби індивідуального захисту</t>
  </si>
  <si>
    <t xml:space="preserve">Продукти харчування </t>
  </si>
  <si>
    <t>Предмети, матеріали та інвентар</t>
  </si>
  <si>
    <t>Будівельні матеріали</t>
  </si>
  <si>
    <t>Паливно-мастильні матеріали</t>
  </si>
  <si>
    <t>Оплата комунальних послуг та інших  енергоносіїв  (тепло, електроенергія, вода, інше)</t>
  </si>
  <si>
    <t>М’який інвентар</t>
  </si>
  <si>
    <t>Господарські матеріали</t>
  </si>
  <si>
    <t>Ремонт</t>
  </si>
  <si>
    <t>Ремонт медичного обладнання</t>
  </si>
  <si>
    <t>Ремонт приміщень</t>
  </si>
  <si>
    <t>Ремонт ліфтів, оргтехніки, ПК</t>
  </si>
  <si>
    <t>Ремонт Авто</t>
  </si>
  <si>
    <t>Інший ремонт</t>
  </si>
  <si>
    <t>Інші матеріальні витрати</t>
  </si>
  <si>
    <t>Підготовка (перепідготовка) кадрів  та підвищення кваліфікації</t>
  </si>
  <si>
    <t>Послуги (крім комунальних)</t>
  </si>
  <si>
    <t>Зовнішні послуги з медичної допомоги</t>
  </si>
  <si>
    <t>ТО/сервісне обслуговування/поверка  НМА</t>
  </si>
  <si>
    <t>ТО медобладнання</t>
  </si>
  <si>
    <t>ТО ліфти, ПК, оргтехніка, телефони</t>
  </si>
  <si>
    <t>ТО, сервісне обслуговування авто</t>
  </si>
  <si>
    <t>ТО/обслуговування ННМА (ППЗ)</t>
  </si>
  <si>
    <t>Зв'язок, інтернет</t>
  </si>
  <si>
    <t>Послуги з прання</t>
  </si>
  <si>
    <t>Охорона</t>
  </si>
  <si>
    <t>Пожежна охорона</t>
  </si>
  <si>
    <t>Послуги з харчування</t>
  </si>
  <si>
    <t>Страхування</t>
  </si>
  <si>
    <t>Податки</t>
  </si>
  <si>
    <t>Банківське обслуговування</t>
  </si>
  <si>
    <t>Відшкодування вартості пільгових ліків, інсулінів</t>
  </si>
  <si>
    <t>Інші необоротні матеріальні активи </t>
  </si>
  <si>
    <t>Нематеріальні активи</t>
  </si>
  <si>
    <t>Неопераційні витрати</t>
  </si>
  <si>
    <r>
      <t>Витрати (з</t>
    </r>
    <r>
      <rPr>
        <sz val="10"/>
        <rFont val="Times New Roman"/>
        <family val="1"/>
        <charset val="204"/>
      </rPr>
      <t xml:space="preserve"> основними</t>
    </r>
    <r>
      <rPr>
        <b/>
        <sz val="10"/>
        <rFont val="Times New Roman"/>
        <family val="1"/>
        <charset val="204"/>
      </rPr>
      <t>)</t>
    </r>
  </si>
  <si>
    <r>
      <t xml:space="preserve">Операційні </t>
    </r>
    <r>
      <rPr>
        <sz val="10"/>
        <rFont val="Times New Roman"/>
        <family val="1"/>
        <charset val="204"/>
      </rPr>
      <t>(без амортизвції)</t>
    </r>
  </si>
  <si>
    <t>ВЛАСНІ</t>
  </si>
  <si>
    <t>МІСЦЕВІ</t>
  </si>
  <si>
    <t>Інше ТО та обслуговування (сайт, програми)</t>
  </si>
  <si>
    <t>ВЛАСНІ КОШТИ</t>
  </si>
  <si>
    <t>кВт год</t>
  </si>
  <si>
    <t>Активна</t>
  </si>
  <si>
    <t>Розподіл</t>
  </si>
  <si>
    <t>Реактивна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</si>
  <si>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</si>
  <si>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</si>
  <si>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</si>
  <si>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</si>
  <si>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</si>
  <si>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</si>
  <si>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</si>
  <si>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</si>
  <si>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</si>
  <si>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</si>
  <si>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</si>
  <si>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</si>
  <si>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ціна</t>
  </si>
  <si>
    <t>сума</t>
  </si>
  <si>
    <t>№ з/п</t>
  </si>
  <si>
    <t>Назва напряму діяльності (пріоритетні завдання)</t>
  </si>
  <si>
    <t>Перелік заходів програми</t>
  </si>
  <si>
    <t>Оплата комунальних послуг та енергоносіїв в т.ч. :</t>
  </si>
  <si>
    <t>Оплата електроенергії</t>
  </si>
  <si>
    <t>Оплата інших енергоносіїв (тріска паливна )</t>
  </si>
  <si>
    <t>Оплата інших комунальних послуг (утилізація сміття )</t>
  </si>
  <si>
    <t>Капітальні видатки</t>
  </si>
  <si>
    <t>Капітальні видатки в т.ч.:</t>
  </si>
  <si>
    <t>Придбання відеоендоскопічного комплексу з відеогастроскопом, відеоколоноскопом, відеобронхоскопом</t>
  </si>
  <si>
    <t>ІV квартал</t>
  </si>
  <si>
    <t>м3</t>
  </si>
  <si>
    <t>дні</t>
  </si>
  <si>
    <t>Оплата інших енергоносіїв (утилізація сміття)</t>
  </si>
  <si>
    <t>МІСЦЕВІ КОШТИ</t>
  </si>
  <si>
    <t>очікуваний  обсяг споживання електроенергії у відповідному кварталі, кВАр-год</t>
  </si>
  <si>
    <t>грн.</t>
  </si>
  <si>
    <t>Директор</t>
  </si>
  <si>
    <t>Медичний директор</t>
  </si>
  <si>
    <t>Заступник медичного директора з якості медичного обслуговування</t>
  </si>
  <si>
    <t>Заступник директора з економічних питань</t>
  </si>
  <si>
    <t>вища категорія акушерство і гінекологія № 109-к - 28.05.2020</t>
  </si>
  <si>
    <t>Романюк С.В.</t>
  </si>
  <si>
    <t>Лікар-епідеміолог</t>
  </si>
  <si>
    <t>Окуневич В.М.</t>
  </si>
  <si>
    <t>І категорія ортопедія і травматологія № 234-ос/к - 29.07.2021</t>
  </si>
  <si>
    <t xml:space="preserve">лікар-спеціаліст стоматологія № 2059-з - 25.06.2019 </t>
  </si>
  <si>
    <t>Гордіюк Р.Є.</t>
  </si>
  <si>
    <t>лікар-спеціаліст ультразвукова діагностика  № 3691-з  24.12.2020</t>
  </si>
  <si>
    <t>лікар-спеціаліст акушерство і гінекологія № 2018-з - 22.06.2021</t>
  </si>
  <si>
    <t>Лікар - анестезіолог дитячий</t>
  </si>
  <si>
    <t>І категорія дитяча анестезіологія № 44-ос/к - 18.03.2021</t>
  </si>
  <si>
    <t>Миколайчук О.А.</t>
  </si>
  <si>
    <t>вища категорія неонатологія № 359-ос/к - 27.12.2017</t>
  </si>
  <si>
    <t>Неїлко Р.А.</t>
  </si>
  <si>
    <t>вища категорія інфекційні хвороби № 288-ос/к - 28.10.2021</t>
  </si>
  <si>
    <t xml:space="preserve">лікар-спеціаліст внутрішні хвороби №1433-з  22.06.2020 </t>
  </si>
  <si>
    <t>Денис І.Ю.</t>
  </si>
  <si>
    <t>лікар-спеціаліст внутрішні хвороби №2018-з  23.06.2021</t>
  </si>
  <si>
    <t>І категорія терапія № 264-ос/к - 30.09.2021</t>
  </si>
  <si>
    <t xml:space="preserve">лікар-спеціаліст хірургія № 35 - 30.06.2020 </t>
  </si>
  <si>
    <t xml:space="preserve">лікар-спеціаліст хірургія № 2018 -з - 22.06.2021 </t>
  </si>
  <si>
    <t>Панасюк Д.В.</t>
  </si>
  <si>
    <t>вища категорія фізіотерапія № 234-ос/к - 29.07.2021</t>
  </si>
  <si>
    <t>вища категорія сестринська справа № 237-ос/к - 07.10.2021</t>
  </si>
  <si>
    <t>вища категорія сестринська справа № 346-ос/к 14.12.2017</t>
  </si>
  <si>
    <t>Богачова А.А.</t>
  </si>
  <si>
    <t>вища категорія сестринська справа № 39-ос/к - 04.03.2021</t>
  </si>
  <si>
    <t>вища категорія сестринська справа № 58-ос/к - 08.04.2021</t>
  </si>
  <si>
    <t>Книш Т.В.</t>
  </si>
  <si>
    <t>І категорія сестринська справа № 58-ос/к - 08.04.2021</t>
  </si>
  <si>
    <t>вища категорія сестринська справа № 254-ос-к - 09.09.2021</t>
  </si>
  <si>
    <t>вища категорія сестринська справа № 43-ос/к - 17.03.2021</t>
  </si>
  <si>
    <t>вища категорія сестринська справа № 258-ос/к - 22.09.2021</t>
  </si>
  <si>
    <t>вища категорія сестринська справа (операційна) № 58-ос/к - 08.04.2021</t>
  </si>
  <si>
    <t>вища категорія лабораторна справа (клініка) № 258-ос/к - 22.09.2021</t>
  </si>
  <si>
    <t>вища категорія лабораторна справа (клініка) № 62-ос/к - 21.04.2021</t>
  </si>
  <si>
    <t>вища категорія лабораторна справа (клініка) № 39-ос/к - 04.03.2021</t>
  </si>
  <si>
    <t>І категорія лабораторна справа (клініка) № 39-ос/к - 04.03.2021</t>
  </si>
  <si>
    <t>вища категорія рентгенологія № 39-ос/к - 04.03.2021</t>
  </si>
  <si>
    <t>вища категорія рентгенологія № 69-ос/к - 06.05.2021</t>
  </si>
  <si>
    <t>Райхерт Л.В.</t>
  </si>
  <si>
    <t>Клімішина О.В.</t>
  </si>
  <si>
    <t>Лукашенко Г.Г.</t>
  </si>
  <si>
    <t>Росоловська Н.В.</t>
  </si>
  <si>
    <t>Психолог</t>
  </si>
  <si>
    <t>Миронюк С.О.</t>
  </si>
  <si>
    <t>Доплата до указу президента</t>
  </si>
  <si>
    <t>Придбання комп'ютерної та офісної техніки</t>
  </si>
  <si>
    <t>Пости</t>
  </si>
  <si>
    <t>Годин за 1 ніч</t>
  </si>
  <si>
    <t>Категорія</t>
  </si>
  <si>
    <t>Тарифікаційний розряд</t>
  </si>
  <si>
    <t>Всього годин</t>
  </si>
  <si>
    <t>З/п</t>
  </si>
  <si>
    <t>Заробітна плата за годину</t>
  </si>
  <si>
    <t>Робочий тиждень</t>
  </si>
  <si>
    <t>Заробітна плата за годину*%</t>
  </si>
  <si>
    <t>К-ть постів</t>
  </si>
  <si>
    <t>К-ть годин</t>
  </si>
  <si>
    <t>Нараховано</t>
  </si>
  <si>
    <t>Кількість календарних днів</t>
  </si>
  <si>
    <t>Середній медперсонал</t>
  </si>
  <si>
    <t>Молодший медперсонал</t>
  </si>
  <si>
    <t>Інший персонал ( машиніст кочегар котельні )</t>
  </si>
  <si>
    <t>Інший персонал ( кухпрацівники,водії )</t>
  </si>
  <si>
    <t xml:space="preserve">ВСЬОГО: </t>
  </si>
  <si>
    <t xml:space="preserve">2 п х 365 дн х 8 год = 5840 год х  35% </t>
  </si>
  <si>
    <t xml:space="preserve">2 п х 365 дн х 8 год = 5840год  х 50% </t>
  </si>
  <si>
    <t xml:space="preserve">5 п х 365 дн х 8 год = 14600 х 50% </t>
  </si>
  <si>
    <t xml:space="preserve">7 п х 365 дн х 8 год = 20440 х 35% </t>
  </si>
  <si>
    <t>2 п х 182,5 дн х 8 год = 2920 х 35%</t>
  </si>
  <si>
    <t>Інший персонал ( водії )</t>
  </si>
  <si>
    <t>1 п х 36 5дн х 8 год = 2920 х 35%</t>
  </si>
  <si>
    <t>Ліжка</t>
  </si>
  <si>
    <t>Лікарський персонал</t>
  </si>
  <si>
    <t>Господарсько-обслуговуючий</t>
  </si>
  <si>
    <t xml:space="preserve">Педіатричне відділення </t>
  </si>
  <si>
    <t>Операційний блок</t>
  </si>
  <si>
    <t>Відділення анестезіології та інтенсивної терапії</t>
  </si>
  <si>
    <t>Клінічна лабораторія</t>
  </si>
  <si>
    <t>Приймальне відділення</t>
  </si>
  <si>
    <t>Господарсько - обслуговуючий персонал</t>
  </si>
  <si>
    <t xml:space="preserve">2 п х 11 дн х 24 год = 528 год </t>
  </si>
  <si>
    <t>Відділення</t>
  </si>
  <si>
    <t xml:space="preserve">Відділення </t>
  </si>
  <si>
    <t>І кв</t>
  </si>
  <si>
    <t>ІІ кв</t>
  </si>
  <si>
    <t>ІІІ кв</t>
  </si>
  <si>
    <t>IV кв</t>
  </si>
  <si>
    <t xml:space="preserve">2 п х 365 дн х 8 год = 5840 х 50% </t>
  </si>
  <si>
    <t>7 п х 365 дн х 8 год = 20440 х 35%</t>
  </si>
  <si>
    <t>7 п х 11 дн х 24 год = 1848 год</t>
  </si>
  <si>
    <t>5 п х 11 дн х 24 год = 1320 год</t>
  </si>
  <si>
    <t>2 п х 11 дн х 24 год = 528 год</t>
  </si>
  <si>
    <t>1п х 11 дн х 24 год = 264 год</t>
  </si>
  <si>
    <t>ріст</t>
  </si>
  <si>
    <t>Оплата праці в святкові дні</t>
  </si>
  <si>
    <t>Віктор РЕДЗІЙ</t>
  </si>
  <si>
    <t>Фахівець з публічних закупівель</t>
  </si>
  <si>
    <t>Інші видатки</t>
  </si>
  <si>
    <t>програма розвитку та підтримки комунального підприємства</t>
  </si>
  <si>
    <t xml:space="preserve">предмети, матеріали </t>
  </si>
  <si>
    <t xml:space="preserve">основні засоби </t>
  </si>
  <si>
    <t>малоцінні необоротні матеріальні активи</t>
  </si>
  <si>
    <t>Інші послуги</t>
  </si>
  <si>
    <t>Ремонт ННМА (ППЗ)</t>
  </si>
  <si>
    <t>Основні засоби , ремонт</t>
  </si>
  <si>
    <t>Інші види оплати</t>
  </si>
  <si>
    <t>КАПІТАЛЬНІ ВИДАТКИ</t>
  </si>
  <si>
    <r>
      <t>Оклад з урахуванням доплат до мінімальної заробітної плати ,</t>
    </r>
    <r>
      <rPr>
        <b/>
        <i/>
        <sz val="17"/>
        <rFont val="Times New Roman"/>
        <family val="1"/>
        <charset val="204"/>
      </rPr>
      <t xml:space="preserve"> грн.</t>
    </r>
  </si>
  <si>
    <r>
      <t xml:space="preserve"> Інші витрати на оплату праці (не включені до ШР, нічні,святкові) ,</t>
    </r>
    <r>
      <rPr>
        <i/>
        <sz val="17"/>
        <rFont val="Times New Roman"/>
        <family val="1"/>
        <charset val="204"/>
      </rPr>
      <t xml:space="preserve"> грн.</t>
    </r>
  </si>
  <si>
    <r>
      <t xml:space="preserve"> Інші види заохочень та стимулювань , </t>
    </r>
    <r>
      <rPr>
        <b/>
        <i/>
        <sz val="17"/>
        <rFont val="Times New Roman"/>
        <family val="1"/>
        <charset val="204"/>
      </rPr>
      <t>грн.</t>
    </r>
  </si>
  <si>
    <r>
      <t xml:space="preserve"> Інші витрати на оплату праці ,</t>
    </r>
    <r>
      <rPr>
        <i/>
        <sz val="17"/>
        <rFont val="Times New Roman"/>
        <family val="1"/>
        <charset val="204"/>
      </rPr>
      <t xml:space="preserve"> грн.</t>
    </r>
  </si>
  <si>
    <r>
      <rPr>
        <b/>
        <u/>
        <sz val="17"/>
        <rFont val="Times New Roman"/>
        <family val="1"/>
        <charset val="204"/>
      </rPr>
      <t>ВСЬОГО Фонд оплати праці</t>
    </r>
    <r>
      <rPr>
        <b/>
        <sz val="17"/>
        <rFont val="Times New Roman"/>
        <family val="1"/>
        <charset val="204"/>
      </rPr>
      <t xml:space="preserve">
по відповідній групі персоналу, </t>
    </r>
    <r>
      <rPr>
        <b/>
        <i/>
        <sz val="17"/>
        <rFont val="Times New Roman"/>
        <family val="1"/>
        <charset val="204"/>
      </rPr>
      <t>грн.</t>
    </r>
  </si>
  <si>
    <r>
      <t xml:space="preserve">Оплата відряджень, </t>
    </r>
    <r>
      <rPr>
        <b/>
        <i/>
        <sz val="17"/>
        <rFont val="Times New Roman"/>
        <family val="1"/>
        <charset val="204"/>
      </rPr>
      <t>грн.</t>
    </r>
  </si>
  <si>
    <r>
      <t xml:space="preserve">Нарахування на оплату праці </t>
    </r>
    <r>
      <rPr>
        <sz val="17"/>
        <rFont val="Times New Roman"/>
        <family val="1"/>
        <charset val="204"/>
      </rPr>
      <t>(загальнообов'язкове державне соціальне страхування)</t>
    </r>
    <r>
      <rPr>
        <b/>
        <sz val="17"/>
        <rFont val="Times New Roman"/>
        <family val="1"/>
        <charset val="204"/>
      </rPr>
      <t>,</t>
    </r>
    <r>
      <rPr>
        <b/>
        <i/>
        <sz val="17"/>
        <rFont val="Times New Roman"/>
        <family val="1"/>
        <charset val="204"/>
      </rPr>
      <t xml:space="preserve"> грн.</t>
    </r>
  </si>
  <si>
    <r>
      <t xml:space="preserve">Утримання із заробітної плати
</t>
    </r>
    <r>
      <rPr>
        <sz val="17"/>
        <rFont val="Times New Roman"/>
        <family val="1"/>
        <charset val="204"/>
      </rPr>
      <t>(податок з доходів фізичних осіб 18% та військовий збір 1.5%)</t>
    </r>
    <r>
      <rPr>
        <b/>
        <sz val="17"/>
        <rFont val="Times New Roman"/>
        <family val="1"/>
        <charset val="204"/>
      </rPr>
      <t xml:space="preserve">, </t>
    </r>
    <r>
      <rPr>
        <b/>
        <i/>
        <sz val="17"/>
        <rFont val="Times New Roman"/>
        <family val="1"/>
        <charset val="204"/>
      </rPr>
      <t>грн.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</si>
  <si>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</t>
    </r>
    <r>
      <rPr>
        <sz val="17"/>
        <color indexed="8"/>
        <rFont val="Times New Roman"/>
        <family val="1"/>
        <charset val="204"/>
      </rPr>
      <t>, грн. (гаряча вода)</t>
    </r>
  </si>
  <si>
    <r>
      <t>очікуваний обсяг споживання гарячої води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</si>
  <si>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</t>
    </r>
    <r>
      <rPr>
        <sz val="17"/>
        <color indexed="8"/>
        <rFont val="Times New Roman"/>
        <family val="1"/>
        <charset val="204"/>
      </rPr>
      <t>, грн. (холодна вода)</t>
    </r>
  </si>
  <si>
    <r>
      <t>очікуваний обсяг споживання холодної води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</si>
  <si>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на початок кварталу (водовідведення), грн.</t>
    </r>
  </si>
  <si>
    <r>
      <t>очікуваний обсяг водовідведення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</si>
  <si>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>ціна за 1 м</t>
    </r>
    <r>
      <rPr>
        <vertAlign val="superscript"/>
        <sz val="17"/>
        <rFont val="Times New Roman"/>
        <family val="1"/>
        <charset val="204"/>
      </rPr>
      <t xml:space="preserve">3 </t>
    </r>
    <r>
      <rPr>
        <sz val="17"/>
        <rFont val="Times New Roman"/>
        <family val="1"/>
        <charset val="204"/>
      </rPr>
      <t>природного газу на початок кварталу, грн.</t>
    </r>
  </si>
  <si>
    <r>
      <t>очікуваний обсяг споживання природного газу у відповідному кварталі, м</t>
    </r>
    <r>
      <rPr>
        <vertAlign val="superscript"/>
        <sz val="17"/>
        <rFont val="Times New Roman"/>
        <family val="1"/>
        <charset val="204"/>
      </rPr>
      <t>3</t>
    </r>
  </si>
  <si>
    <r>
      <t xml:space="preserve">ВСЬОГО витрат на комунальні послуги, </t>
    </r>
    <r>
      <rPr>
        <b/>
        <i/>
        <sz val="17"/>
        <color indexed="8"/>
        <rFont val="Times New Roman"/>
        <family val="1"/>
        <charset val="204"/>
      </rPr>
      <t>грн.</t>
    </r>
  </si>
  <si>
    <t>звірка деталізація</t>
  </si>
  <si>
    <t>Факт минулого року</t>
  </si>
  <si>
    <t xml:space="preserve">* Лікарські засоби * Вироби медичного призначення та допоміжні засоби,тощо *Імунобіологічні препарати *Дезинфекційні засоби </t>
  </si>
  <si>
    <t xml:space="preserve">* Продукти харчування </t>
  </si>
  <si>
    <t xml:space="preserve">* Інші операційні витрати </t>
  </si>
  <si>
    <t>* Тріска паливна</t>
  </si>
  <si>
    <t>* Утилізація сміття</t>
  </si>
  <si>
    <t>* Засоби індивідуального захисту * Інші матеріали * Купівельні напівфабрикати , * Паливо * Будівельні матеріали * Інші матеріали</t>
  </si>
  <si>
    <t xml:space="preserve">Інші поточні видатки </t>
  </si>
  <si>
    <t>Комунальне підприємство</t>
  </si>
  <si>
    <t>Міністерство охорони здоров'я України</t>
  </si>
  <si>
    <t>за СКОДУ</t>
  </si>
  <si>
    <t>Рожищенська міська територіальна громада</t>
  </si>
  <si>
    <t>01982910</t>
  </si>
  <si>
    <t>0724510100</t>
  </si>
  <si>
    <r>
      <t xml:space="preserve">Витрати на канцтовари, офісне приладдя та устаткування , грн.
</t>
    </r>
    <r>
      <rPr>
        <sz val="16"/>
        <rFont val="Times New Roman"/>
        <family val="1"/>
        <charset val="204"/>
      </rPr>
      <t>(частина адміністративних витрат)</t>
    </r>
  </si>
  <si>
    <t>Рожищенський міський голова</t>
  </si>
  <si>
    <t xml:space="preserve">        Вячеслав ПОЛІЩУК</t>
  </si>
  <si>
    <t>Керівники структурних підрозділів</t>
  </si>
  <si>
    <t>Інші працівники</t>
  </si>
  <si>
    <t xml:space="preserve">ВИДАТКИ НАДАВАЧА </t>
  </si>
  <si>
    <t xml:space="preserve">Керівники </t>
  </si>
  <si>
    <t xml:space="preserve">Середній медичний персонал </t>
  </si>
  <si>
    <t>тариф за 1 кВт (реактивна) на початок кварталу, грн.</t>
  </si>
  <si>
    <t>витрати на реактивну електроенергію тарифом, грн.</t>
  </si>
  <si>
    <t>Транспортний засіб (мотоцикл, квадроцикл, мотороллер) або велосипед [6]</t>
  </si>
  <si>
    <t>Небулайзер</t>
  </si>
  <si>
    <t>Мікроскоп</t>
  </si>
  <si>
    <t>Гематологічний аналізатор</t>
  </si>
  <si>
    <t>Біохімічний аналізатор</t>
  </si>
  <si>
    <t>Лабораторний посуд, дозатори, витратні матеріали</t>
  </si>
  <si>
    <t>Освітлювач переносний безтіньовий</t>
  </si>
  <si>
    <t>Стіл для інструментів, мобільний</t>
  </si>
  <si>
    <t>Холодильник для зберігання вакцин</t>
  </si>
  <si>
    <t>Сповивальний столик</t>
  </si>
  <si>
    <t>Ширма</t>
  </si>
  <si>
    <t>Ноші медичні</t>
  </si>
  <si>
    <t>Крісло-каталка</t>
  </si>
  <si>
    <t>Загальна оглядова цифрова камера (автофокус, цифровий зум, поляризаційний фільтр, автобаланс білого)</t>
  </si>
  <si>
    <t>Інтерактивний цифровий стетоскоп</t>
  </si>
  <si>
    <t>Монітор життєво-важливих показників із цифровим інтерфейсом (АТ, термометрія, пульсоксиметрія)</t>
  </si>
  <si>
    <t>12-канальний електрокардіограф з цифровим інтерфейсом</t>
  </si>
  <si>
    <t>ІІ. Додатковий список (застосовується за умови комплектності основного списку та відповідно до наявних потреб)</t>
  </si>
  <si>
    <t>ІІІ. Обладнання для надання медичних послуг із застосуванням телемедицини</t>
  </si>
  <si>
    <t>Капітальний ремонт</t>
  </si>
  <si>
    <t>Капітальні інвестиції, зокрема:</t>
  </si>
  <si>
    <t>Адміністративні витрати, зокрема:</t>
  </si>
  <si>
    <t>Всього</t>
  </si>
  <si>
    <t xml:space="preserve">Амортизація </t>
  </si>
  <si>
    <t>Амортизація</t>
  </si>
  <si>
    <t>вказати інші, які не входять до Табелю МТО  (вкладка "03_МТО")</t>
  </si>
  <si>
    <t>ІНШІ ВИДАТКИ та ПОКАЗНИКИ БАЛАНСУ ПІДПРИЄМСТВА</t>
  </si>
  <si>
    <r>
      <t>Відсоток розподілу</t>
    </r>
    <r>
      <rPr>
        <u/>
        <sz val="18"/>
        <color indexed="8"/>
        <rFont val="Times New Roman"/>
        <family val="1"/>
        <charset val="204"/>
      </rPr>
      <t xml:space="preserve"> капітальних інвестицій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</si>
  <si>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Відсоток розподілу </t>
    </r>
    <r>
      <rPr>
        <u/>
        <sz val="18"/>
        <color indexed="8"/>
        <rFont val="Times New Roman"/>
        <family val="1"/>
        <charset val="204"/>
      </rPr>
      <t>адміністративних витрат</t>
    </r>
    <r>
      <rPr>
        <sz val="18"/>
        <color indexed="8"/>
        <rFont val="Times New Roman"/>
        <family val="1"/>
        <charset val="204"/>
      </rPr>
      <t xml:space="preserve"> за кварталами року</t>
    </r>
  </si>
  <si>
    <r>
      <t xml:space="preserve">Витрати капітальні інвестиції відповідно до Табелю матеріально-технічного оснащення, грн.
</t>
    </r>
    <r>
      <rPr>
        <sz val="16"/>
        <rFont val="Times New Roman"/>
        <family val="1"/>
        <charset val="204"/>
      </rPr>
      <t>(частина відповідних витрат)</t>
    </r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</si>
  <si>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</si>
  <si>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</si>
  <si>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</si>
  <si>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</si>
  <si>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</si>
  <si>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</si>
  <si>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 xml:space="preserve">заробітна плата </t>
  </si>
  <si>
    <t>нарахування на оплату праці</t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</si>
  <si>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>канцтовари, офісне приладдя та устаткування</t>
    </r>
    <r>
      <rPr>
        <b/>
        <sz val="16"/>
        <rFont val="Times New Roman"/>
        <family val="1"/>
        <charset val="204"/>
      </rPr>
      <t xml:space="preserve"> відповідно до Табелю матеріально-технічного оснащення, </t>
    </r>
    <r>
      <rPr>
        <sz val="16"/>
        <rFont val="Times New Roman"/>
        <family val="1"/>
        <charset val="204"/>
      </rPr>
      <t xml:space="preserve">грн.
</t>
    </r>
    <r>
      <rPr>
        <i/>
        <sz val="16"/>
        <rFont val="Times New Roman"/>
        <family val="1"/>
        <charset val="204"/>
      </rPr>
      <t>(частина адміністративних витрат)</t>
    </r>
  </si>
  <si>
    <r>
      <t xml:space="preserve">Річні витрати на </t>
    </r>
    <r>
      <rPr>
        <b/>
        <u/>
        <sz val="16"/>
        <rFont val="Times New Roman"/>
        <family val="1"/>
        <charset val="204"/>
      </rPr>
      <t xml:space="preserve">капітальні інвестиції </t>
    </r>
    <r>
      <rPr>
        <b/>
        <sz val="16"/>
        <rFont val="Times New Roman"/>
        <family val="1"/>
        <charset val="204"/>
      </rPr>
      <t xml:space="preserve">відповідно до Табелю матеріально-технічного оснащення, </t>
    </r>
    <r>
      <rPr>
        <sz val="16"/>
        <rFont val="Times New Roman"/>
        <family val="1"/>
        <charset val="204"/>
      </rPr>
      <t>грн.</t>
    </r>
    <r>
      <rPr>
        <i/>
        <sz val="16"/>
        <rFont val="Times New Roman"/>
        <family val="1"/>
        <charset val="204"/>
      </rPr>
      <t xml:space="preserve">
(частина відповідних витрат)</t>
    </r>
  </si>
  <si>
    <r>
      <t>Розподіл закупівель на 3 групи в залежності від вартості і терміну експлуатації:</t>
    </r>
    <r>
      <rPr>
        <b/>
        <i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1 група - предмети, матеріали (до 1 року);
2 група - основні засоби (більше 1 року та більше або дорівнює сумі у комірці С103 (грн.));
3 група - малоцінні необоротні матеріальні активи (більше 1 року та манше суми у комірці С103 (грн.)).</t>
    </r>
  </si>
  <si>
    <t>Контейнери: для інструментарію, витратних матеріалів тощо</t>
  </si>
  <si>
    <t>Швидкі тести: вагітність, тропоніни, ВІЛ, вірусні гепатити тощо</t>
  </si>
  <si>
    <t>Офісні меблі: столи для персоналу, стільці та (або) крісла для кабінетів і зал очікувань, шафи для документів і одягу, сейфи тощо</t>
  </si>
  <si>
    <t>Комп’ютерне обладнання: комп’ютер або ноутбук з операційною системою та доступом до мережі Інтернет, багатофункціональний пристрій (або принтер + сканер)</t>
  </si>
  <si>
    <t>комп’ютер або ноутбук з операційною системою</t>
  </si>
  <si>
    <t>Набір цифрових "скопічних" систем із генератором світла (дерматоскоп, офтальмоскоп, отоскоп, назо-фарингоскоп, сінускоп, кольпоскоп)</t>
  </si>
  <si>
    <t>Спірометр цифровий</t>
  </si>
  <si>
    <t>Величко Т.В.</t>
  </si>
  <si>
    <t xml:space="preserve">січень </t>
  </si>
  <si>
    <t>лютий</t>
  </si>
  <si>
    <t>березень</t>
  </si>
  <si>
    <t>квітень</t>
  </si>
  <si>
    <t>травень</t>
  </si>
  <si>
    <t>червень</t>
  </si>
  <si>
    <t xml:space="preserve">липень </t>
  </si>
  <si>
    <t>серпень</t>
  </si>
  <si>
    <t>вересень</t>
  </si>
  <si>
    <t>жовтень</t>
  </si>
  <si>
    <t>листопад</t>
  </si>
  <si>
    <t>грудень</t>
  </si>
  <si>
    <t>Видатки на оплату праці в святкові дні</t>
  </si>
  <si>
    <t xml:space="preserve">Видатки за години нічної праці без права сну </t>
  </si>
  <si>
    <t>Допомога на оздоровлення медики</t>
  </si>
  <si>
    <t>Матеріальна допомога інший персонал</t>
  </si>
  <si>
    <t>Доплати, що носять стимулюючий характер</t>
  </si>
  <si>
    <t xml:space="preserve">ДОХОДИ </t>
  </si>
  <si>
    <t>Дохід з місцевого бюджету за програмами, грн., у т.ч.:</t>
  </si>
  <si>
    <t>Дохід з місцевого бюджету за програмами, у т.ч.:</t>
  </si>
  <si>
    <t>Засоби індивідуального захисту (ізоляційний халат, одноразові рукавички, бахіли, респіратор класу захисту FFP2/ FFP3, шапочка медична, маска хірургічна (медична), захисний щиток)</t>
  </si>
  <si>
    <t>Розхідні матеріали одноразового використання: шпателі, оглядові рукавички, рушники паперові, серветки (в тому числі вологі), одноразові простирадла для кушетки, шприці, системи для вливання інфузійних розчинів одноразові, катетери, вакуумні пробірки (вакутайнери), стерильний перев’язувальний матеріал тощо</t>
  </si>
  <si>
    <t>системи для вливання інфузійних розчинів одноразові</t>
  </si>
  <si>
    <t>Мінімальний набір лікарських засобів для надання невідкладної медичної допомоги, в т.ч.:</t>
  </si>
  <si>
    <t>Одноразові інструменти для огляду [4]</t>
  </si>
  <si>
    <t>Одноразові малі хірургічні набори [4], в т.ч.:</t>
  </si>
  <si>
    <t>Адреналіну гідрохлорид (епінефрин) (ампули 0,18% - 1,0)</t>
  </si>
  <si>
    <t>Аміодарон (ампули 5 % -3,0)</t>
  </si>
  <si>
    <t>Атропіну сульфат (ампули 0,1 % - 1,0)</t>
  </si>
  <si>
    <t>Ацетилсаліцилова кислота (таблетки 0,5)</t>
  </si>
  <si>
    <t>Гепарин (флакони 5000 МО/мл- 5,0)</t>
  </si>
  <si>
    <t>Глюкоза (ампули 40 %- 20,0)</t>
  </si>
  <si>
    <t>Глюкоза (флакони 5 % - 200,0)</t>
  </si>
  <si>
    <t>Дротаверин (ампули 2 % -2,0)</t>
  </si>
  <si>
    <t>Дексаметазон (ампули 0,4 % - 1,0)</t>
  </si>
  <si>
    <t>Лідокаїн (ампули 2 % -2,0)</t>
  </si>
  <si>
    <t>Метоклопрамід (ампули 0,5 % - 2,0)</t>
  </si>
  <si>
    <t>Натрію хлорид  (флакони 0,9 % - 200,0)</t>
  </si>
  <si>
    <t>Нітрогліцерин (Таблетки сублінгвальні 0,0005)</t>
  </si>
  <si>
    <t>Парацетамол (таблетки 0,5)</t>
  </si>
  <si>
    <t>Пропроналол (анаприлін) (40 мг)</t>
  </si>
  <si>
    <t>Сальбутамол (аерозоль, 100 мкг доза, 200 доз у балоні)</t>
  </si>
  <si>
    <t>Фуросемід (ампули 1 % -2,0)</t>
  </si>
  <si>
    <t>Хлоргексидину біглюконат (флакон 0,05 % - 100,0)</t>
  </si>
  <si>
    <t>Каптоприл (таблетки 0,025)</t>
  </si>
  <si>
    <t>Атравматичні голки з шовною ниткою</t>
  </si>
  <si>
    <t>Голкотримач</t>
  </si>
  <si>
    <t>Затискач кровоспинний</t>
  </si>
  <si>
    <t>Зонд двосторонній ґудзиковий</t>
  </si>
  <si>
    <t>Корнцанг</t>
  </si>
  <si>
    <t>Ножиці хірургічні вертикально-зігнуті</t>
  </si>
  <si>
    <t>Ножиці хірургічні прямі</t>
  </si>
  <si>
    <t>Пінцет анатомічний</t>
  </si>
  <si>
    <t>Пінцет хірургічний</t>
  </si>
  <si>
    <t>Скальпелі одноразові або леза для скальпелю одноразові з відповідною ручкою</t>
  </si>
  <si>
    <t>Стерилізатор</t>
  </si>
  <si>
    <t xml:space="preserve"> </t>
  </si>
  <si>
    <t>Показник</t>
  </si>
  <si>
    <t>Лікарі</t>
  </si>
  <si>
    <t>(посада керівника органу управління підприємством)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</si>
  <si>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</si>
  <si>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</si>
  <si>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</si>
  <si>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</si>
  <si>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</si>
  <si>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</si>
  <si>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</si>
  <si>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</si>
  <si>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</si>
  <si>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</si>
  <si>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</si>
  <si>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</si>
  <si>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</si>
  <si>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</si>
  <si>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</si>
  <si>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</si>
  <si>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</si>
  <si>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</si>
  <si>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</si>
  <si>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</si>
  <si>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</si>
  <si>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</si>
  <si>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</si>
  <si>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</si>
  <si>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</si>
  <si>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</si>
  <si>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Прогноз на поточний рік</t>
  </si>
  <si>
    <t>Плановий рік  (усього)</t>
  </si>
  <si>
    <t xml:space="preserve">І  </t>
  </si>
  <si>
    <t xml:space="preserve">ІІ  </t>
  </si>
  <si>
    <t xml:space="preserve">ІІІ  </t>
  </si>
  <si>
    <t xml:space="preserve">ІV </t>
  </si>
  <si>
    <t xml:space="preserve">Доходи </t>
  </si>
  <si>
    <t>Дохід (виручка) від реалізації продукції (товарів, робіт, послуг)</t>
  </si>
  <si>
    <t xml:space="preserve">назва </t>
  </si>
  <si>
    <t>дохід від операційної оренди активів</t>
  </si>
  <si>
    <t>Видатки</t>
  </si>
  <si>
    <t>Заробітна плата</t>
  </si>
  <si>
    <t>Нарахування на оплату праці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</si>
  <si>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</si>
  <si>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</si>
  <si>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</si>
  <si>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</si>
  <si>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інших енергоносіїв</t>
  </si>
  <si>
    <t>Оплата енергосервісу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</si>
  <si>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</si>
  <si>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</si>
  <si>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</si>
  <si>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Інші видатки, у т.ч.</t>
  </si>
  <si>
    <t>Резервний фонд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</si>
  <si>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</si>
  <si>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</si>
  <si>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</si>
  <si>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</si>
  <si>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</si>
  <si>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</si>
  <si>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</si>
  <si>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</si>
  <si>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</si>
  <si>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</si>
  <si>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</si>
  <si>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</si>
  <si>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</si>
  <si>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</si>
  <si>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</si>
  <si>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</si>
  <si>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</si>
  <si>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</si>
  <si>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 xml:space="preserve">Інші надходження </t>
  </si>
  <si>
    <t>Витрати від фінансової діяльності за зобов’язаннями, у т. ч.:</t>
  </si>
  <si>
    <t>Інші витрати</t>
  </si>
  <si>
    <t>V. Коефіцієнтний аналіз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</si>
  <si>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</si>
  <si>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</si>
  <si>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</si>
  <si>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VІ. Звіт про фінансовий стан</t>
  </si>
  <si>
    <t>Усього активи</t>
  </si>
  <si>
    <t>Дебіторська заборгованість</t>
  </si>
  <si>
    <t>Кредиторська заборгованість</t>
  </si>
  <si>
    <t>VII. Дані про персонал та оплата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</si>
  <si>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т.ч.: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</si>
  <si>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</si>
  <si>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</si>
  <si>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</si>
  <si>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Фонд оплати праці, у т.ч.:</t>
  </si>
  <si>
    <t>Середньомісячні витрати на оплату праці одного працівника, у т.ч.:</t>
  </si>
  <si>
    <t>Заборгованість за заробітною платою, у т.ч.:</t>
  </si>
  <si>
    <t>І квартал</t>
  </si>
  <si>
    <t>ІІ квартал</t>
  </si>
  <si>
    <t>ІІІ квартал</t>
  </si>
  <si>
    <t>IV квартал</t>
  </si>
  <si>
    <t>рік</t>
  </si>
  <si>
    <t>x</t>
  </si>
  <si>
    <t>х</t>
  </si>
  <si>
    <t>I квартал</t>
  </si>
  <si>
    <t>Благодійна допомога, грн.</t>
  </si>
  <si>
    <t xml:space="preserve">І квартал </t>
  </si>
  <si>
    <t xml:space="preserve">ІІ квартал </t>
  </si>
  <si>
    <t xml:space="preserve">ІІІ квартал </t>
  </si>
  <si>
    <t xml:space="preserve">IV квартал </t>
  </si>
  <si>
    <t xml:space="preserve">Всього </t>
  </si>
  <si>
    <t>Фінансовий план поточного року (затверджений зі змінами)</t>
  </si>
  <si>
    <t>У тому числі за кварталами планового року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</si>
  <si>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</si>
  <si>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</si>
  <si>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</si>
  <si>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</si>
  <si>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III. Інвестиційна діяльність</t>
  </si>
  <si>
    <t>Капітальні інвестиції, у т.ч.:</t>
  </si>
  <si>
    <t>IV. Фінансова діяльність</t>
  </si>
  <si>
    <t>Найменування обладнання</t>
  </si>
  <si>
    <t>Потреба в закупівлі, шт
Всього по всім структурним підрозділам</t>
  </si>
  <si>
    <t>Оціночна вартість за 1 штуку, грн</t>
  </si>
  <si>
    <t>Оціночна сума, грн</t>
  </si>
  <si>
    <t>І. Основний список</t>
  </si>
  <si>
    <t>Інші матеріали, не зазначені в Примірному табелі</t>
  </si>
  <si>
    <t>Показник/Період</t>
  </si>
  <si>
    <t>за рік</t>
  </si>
  <si>
    <t>ціна за 1 Гкал на початок кварталу, грн.</t>
  </si>
  <si>
    <t>очікуваний обсяг споживання теплової енергії у відповідному кварталі, Гкал</t>
  </si>
  <si>
    <t>обсяг витрат на теплопостачання, грн.</t>
  </si>
  <si>
    <t>обсяг витрат на гарячу воду, грн.</t>
  </si>
  <si>
    <t>обсяг витрат на холодну воду, грн.</t>
  </si>
  <si>
    <t>обсяг витрат на водовідведення, грн.</t>
  </si>
  <si>
    <t>загальні витрати на електроенергію, грн.</t>
  </si>
  <si>
    <t>обсяг витрат на природний газ, грн.</t>
  </si>
  <si>
    <t>Персонал / Показник</t>
  </si>
  <si>
    <t>Група персоналу</t>
  </si>
  <si>
    <t xml:space="preserve"> Ставка ЄСВ для відповідної посади, %</t>
  </si>
  <si>
    <t>Керівники</t>
  </si>
  <si>
    <t>ОПЛАТА ПРАЦІ</t>
  </si>
  <si>
    <t>Витрати на теплопостачання</t>
  </si>
  <si>
    <t>Витрати на водопостачання та водовідведення</t>
  </si>
  <si>
    <t>Витрати на електроенергію</t>
  </si>
  <si>
    <t>Витрати на природний газ</t>
  </si>
  <si>
    <t>КОМУНАЛЬНІ ВИТРАТИ</t>
  </si>
  <si>
    <t>Надходження відсотків від залишків коштів на поточних та депозитних рахунках, грн.</t>
  </si>
  <si>
    <t>Надходження від реалізації оборотних і необоротних активів, грн.</t>
  </si>
  <si>
    <t>Інші доходи:</t>
  </si>
  <si>
    <t>дохід від реалізації оборотних і необоротних активів</t>
  </si>
  <si>
    <t>відсотки отримані (поточні рахунки і депозити)</t>
  </si>
  <si>
    <t>окремі заходи по реалізації державних (регіональних) програм, не віднесені до заходів розвитку</t>
  </si>
  <si>
    <t xml:space="preserve">Сума ПДВ до Державного бюджету України </t>
  </si>
  <si>
    <t>Сума плати за землю</t>
  </si>
  <si>
    <t>Інші операційні доходи, грн.</t>
  </si>
  <si>
    <t>Сума плати за воду</t>
  </si>
  <si>
    <t>Транспортний податок з юридичних осіб</t>
  </si>
  <si>
    <t>Податок на нерухомість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</si>
  <si>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</si>
  <si>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</si>
  <si>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</si>
  <si>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</si>
  <si>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</si>
  <si>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Примітка</t>
  </si>
  <si>
    <t>сума повинна співвідноситись із сумою отриманого доходу на ці заходи</t>
  </si>
  <si>
    <t>вказати суму, якщо такий фонд передбачено Статутом/колективним договором</t>
  </si>
  <si>
    <t>відповідно до Закону України "Про охорону праці" (0.5% від фонду оплати праці за попередній рік)</t>
  </si>
  <si>
    <t>вказати суму, якщо даний податок сплачується</t>
  </si>
  <si>
    <t>вказати суму таких податків і зборів, за виключенням ЄСВ</t>
  </si>
  <si>
    <t>Вартість основних засобів</t>
  </si>
  <si>
    <t>відповідно до рахунків 10 "Основні засоби", 11 "Інші необоротні матеріальні активи", 12 "Нематеріальні активи"</t>
  </si>
  <si>
    <t>відповідно до рахунку 13 "Знос (амортизація) необоротних активів"</t>
  </si>
  <si>
    <t>відповідно до рахунку 15 "Капітальні інвестиції"</t>
  </si>
  <si>
    <t>Витрати на охорону праці</t>
  </si>
  <si>
    <t>Основні засоби</t>
  </si>
  <si>
    <t>Малоцінні необоротні матеріальні активи</t>
  </si>
  <si>
    <t>Предмети, матеріали</t>
  </si>
  <si>
    <t>IV  квартал</t>
  </si>
  <si>
    <t>Надходження від здачі приміщень/земельних ділянок та ін. в оренду, грн.</t>
  </si>
  <si>
    <t>Допоміжний персонал</t>
  </si>
  <si>
    <t>Інші операційні доходи, у т.ч.:</t>
  </si>
  <si>
    <t>Коефіцієнт відношення капітальних інвестицій до доходу від реалізації продукції (товарів, робіт, послуг)</t>
  </si>
  <si>
    <t>Кількість штатних одиниць, од.</t>
  </si>
  <si>
    <t>видатки на охорону праці</t>
  </si>
  <si>
    <t>Видатки у І кварталі, грн.</t>
  </si>
  <si>
    <t>Видатки у ІІ кварталі, грн.</t>
  </si>
  <si>
    <t>Видатки у ІІІ кварталі, грн.</t>
  </si>
  <si>
    <t>Видатки у IV кварталі, грн.</t>
  </si>
  <si>
    <t xml:space="preserve">Необоротні активи </t>
  </si>
  <si>
    <t>Оборотні активи</t>
  </si>
  <si>
    <t>Термін експлуатації (більше або менше 1 року)</t>
  </si>
  <si>
    <t>Ваги для дітей</t>
  </si>
  <si>
    <t>Ваги для дорослих</t>
  </si>
  <si>
    <t>Ростомір</t>
  </si>
  <si>
    <t>Медична вимірювальна стрічка (рулетка)</t>
  </si>
  <si>
    <t>Стетофонендоскоп</t>
  </si>
  <si>
    <t>Термометр (для вимірювання температури тіла), в тому числі цифровий або інфрачервоний</t>
  </si>
  <si>
    <t>Тонометр з малими, середніми і великими манжетами</t>
  </si>
  <si>
    <t>Пульсоксиметр портативний</t>
  </si>
  <si>
    <t>Отоофтальмоскоп</t>
  </si>
  <si>
    <t>Медичний ліхтарик</t>
  </si>
  <si>
    <t>Електрокардіограф [2]</t>
  </si>
  <si>
    <t>Пікфлуометр [2]</t>
  </si>
  <si>
    <t>Молоточок неврологічний</t>
  </si>
  <si>
    <t>Таблиці для перевірки гостроти зору</t>
  </si>
  <si>
    <t>Апарат визначення рівня глюкози крові у комплекті (глюкометр, смужки, одноразові ланцети, одноразові рукавички) [2]</t>
  </si>
  <si>
    <t>Центрифуга [3]</t>
  </si>
  <si>
    <t>шпателі</t>
  </si>
  <si>
    <t>оглядові рукавички</t>
  </si>
  <si>
    <t>рушники паперові</t>
  </si>
  <si>
    <t>серветки (в тому числі вологі)</t>
  </si>
  <si>
    <t>одноразові простирадла для кушетки</t>
  </si>
  <si>
    <t>шприці</t>
  </si>
  <si>
    <t>катетери</t>
  </si>
  <si>
    <t>вакуумні пробірки (вакутайнери)</t>
  </si>
  <si>
    <t>стерильний перев’язувальний матеріал</t>
  </si>
  <si>
    <t>Сумка лікаря/медсестри</t>
  </si>
  <si>
    <t>Сумка-холодильник з набором акумуляторів холоду</t>
  </si>
  <si>
    <t>Холодильник для зберігання лікарських засобів</t>
  </si>
  <si>
    <t>Кушетка, в тому числі кушетка-трансформер (гінекологічне крісло)</t>
  </si>
  <si>
    <t>Шафа для зберігання лікарських засобів та медичних виробів</t>
  </si>
  <si>
    <t>Сповивальний столик (для зали очікування)</t>
  </si>
  <si>
    <t>столи для персоналу</t>
  </si>
  <si>
    <t>стільці та (або) крісла для кабінетів</t>
  </si>
  <si>
    <t>стільці та (або) крісла зал очікувань</t>
  </si>
  <si>
    <t>шафи для документів</t>
  </si>
  <si>
    <t>шафи для одягу</t>
  </si>
  <si>
    <t>сейфи</t>
  </si>
  <si>
    <t>багатофункціональний пристрій (або принтер + сканер)</t>
  </si>
  <si>
    <t>Спеціальне (прикладне) програмне забезпечення для ПМД</t>
  </si>
  <si>
    <t>Канцелярське приладдя, витратні матеріали для комп’ютерного обладнання (папір, картриджі тощо)</t>
  </si>
  <si>
    <t>Автомобіль легковий повнопривідний (підсилювач керма та гальм) або легковий (підсилювач керма та гальм) [5]</t>
  </si>
  <si>
    <t>в місяць</t>
  </si>
  <si>
    <t>покриття вартості комунальних послуг та енергоносіїв надавача МД, грн.</t>
  </si>
  <si>
    <t>Діяльність лікарняних закладів</t>
  </si>
  <si>
    <t>Комунальна</t>
  </si>
  <si>
    <t>45100, Волинська обл., м.Рожище , вул.Коте Шилокадзе , 19</t>
  </si>
  <si>
    <t>Редзій В.С.</t>
  </si>
  <si>
    <t>86.10</t>
  </si>
  <si>
    <t>ВСЬОГО ВИДАТКІВ надавача МД, грн.</t>
  </si>
  <si>
    <r>
      <t>2. Інші надходження/доход</t>
    </r>
    <r>
      <rPr>
        <b/>
        <sz val="22"/>
        <rFont val="Times New Roman"/>
        <family val="1"/>
        <charset val="204"/>
      </rPr>
      <t>и надавача МД</t>
    </r>
  </si>
  <si>
    <t>Всього річні ВИДАТКИ надавача МД, грн.</t>
  </si>
  <si>
    <t xml:space="preserve">витрати на канцтовари, офісне приладдя та устаткування </t>
  </si>
  <si>
    <t>Оплата комунальних послуг та енергоносіїв</t>
  </si>
  <si>
    <t>Капітальні інвестиції</t>
  </si>
  <si>
    <t xml:space="preserve">Програма розвитку та підтримки комунального підприємства </t>
  </si>
  <si>
    <t>Комунальне підприємство "Рожищенська багатопрофільна лікарня" Рожищенської міської ради</t>
  </si>
</sst>
</file>

<file path=xl/styles.xml><?xml version="1.0" encoding="utf-8"?>
<styleSheet xmlns="http://schemas.openxmlformats.org/spreadsheetml/2006/main">
  <numFmts count="16"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_([$UAH]\ * #,##0.00_);_([$UAH]\ * \(#,##0.00\);_([$UAH]\ * &quot;-&quot;??_);_(@_)"/>
    <numFmt numFmtId="169" formatCode="#,##0_ ;\-#,##0\ "/>
    <numFmt numFmtId="170" formatCode="0.0"/>
    <numFmt numFmtId="171" formatCode="0.0%"/>
    <numFmt numFmtId="172" formatCode="_-* #,##0_р_._-;\-* #,##0_р_._-;_-* &quot;-&quot;_р_._-;_-@_-"/>
    <numFmt numFmtId="173" formatCode="_-* #,##0.00\ _р_._-;\-* #,##0.00\ _р_._-;_-* &quot;-&quot;??\ _р_._-;_-@_-"/>
    <numFmt numFmtId="174" formatCode="#,##0.000"/>
    <numFmt numFmtId="175" formatCode="#,##0.0000"/>
    <numFmt numFmtId="176" formatCode="0.000"/>
    <numFmt numFmtId="177" formatCode="#,##0\ &quot;грн.&quot;"/>
    <numFmt numFmtId="178" formatCode="0.0000"/>
    <numFmt numFmtId="179" formatCode="#,##0.00000"/>
  </numFmts>
  <fonts count="23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strike/>
      <sz val="14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8"/>
      <color indexed="8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9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20"/>
      <color indexed="3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3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6"/>
      <color indexed="3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26"/>
      <color indexed="30"/>
      <name val="Times New Roman"/>
      <family val="1"/>
      <charset val="204"/>
    </font>
    <font>
      <b/>
      <sz val="36"/>
      <color indexed="3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name val="Arial"/>
      <family val="2"/>
      <charset val="204"/>
    </font>
    <font>
      <b/>
      <sz val="36"/>
      <color indexed="10"/>
      <name val="Times New Roman"/>
      <family val="1"/>
      <charset val="204"/>
    </font>
    <font>
      <sz val="18"/>
      <name val="Arial"/>
      <family val="2"/>
      <charset val="204"/>
    </font>
    <font>
      <sz val="30"/>
      <name val="Times New Roman"/>
      <family val="1"/>
      <charset val="204"/>
    </font>
    <font>
      <sz val="50"/>
      <name val="Times New Roman"/>
      <family val="1"/>
      <charset val="204"/>
    </font>
    <font>
      <sz val="36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0"/>
      <name val="Helv"/>
    </font>
    <font>
      <sz val="12"/>
      <name val="UkrainianPragmatica"/>
      <charset val="204"/>
    </font>
    <font>
      <b/>
      <u/>
      <sz val="20"/>
      <name val="Times New Roman"/>
      <family val="1"/>
      <charset val="204"/>
    </font>
    <font>
      <b/>
      <u/>
      <sz val="3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2"/>
      <color indexed="8"/>
      <name val="Calibri"/>
      <family val="2"/>
    </font>
    <font>
      <sz val="22"/>
      <color indexed="8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5"/>
      <color indexed="8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17"/>
      <color indexed="30"/>
      <name val="Times New Roman"/>
      <family val="1"/>
      <charset val="204"/>
    </font>
    <font>
      <sz val="17"/>
      <color indexed="8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7"/>
      <color indexed="9"/>
      <name val="Times New Roman"/>
      <family val="1"/>
      <charset val="204"/>
    </font>
    <font>
      <sz val="17"/>
      <color indexed="9"/>
      <name val="Times New Roman"/>
      <family val="1"/>
      <charset val="204"/>
    </font>
    <font>
      <b/>
      <sz val="17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Arial Cyr"/>
      <charset val="1"/>
    </font>
    <font>
      <b/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name val="Arial Cyr"/>
      <charset val="204"/>
    </font>
    <font>
      <b/>
      <u/>
      <sz val="12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10"/>
      <name val="Arial Cyr"/>
      <charset val="204"/>
    </font>
    <font>
      <b/>
      <sz val="10"/>
      <color indexed="9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5"/>
      <color indexed="10"/>
      <name val="Times New Roman"/>
      <family val="1"/>
      <charset val="204"/>
    </font>
    <font>
      <i/>
      <sz val="17"/>
      <name val="Times New Roman"/>
      <family val="1"/>
      <charset val="204"/>
    </font>
    <font>
      <b/>
      <u/>
      <sz val="17"/>
      <name val="Times New Roman"/>
      <family val="1"/>
      <charset val="204"/>
    </font>
    <font>
      <b/>
      <sz val="17"/>
      <color indexed="30"/>
      <name val="Times New Roman"/>
      <family val="1"/>
      <charset val="204"/>
    </font>
    <font>
      <b/>
      <sz val="17"/>
      <color indexed="40"/>
      <name val="Times New Roman"/>
      <family val="1"/>
      <charset val="204"/>
    </font>
    <font>
      <b/>
      <sz val="17"/>
      <color indexed="30"/>
      <name val="Times New Roman"/>
      <family val="1"/>
      <charset val="204"/>
    </font>
    <font>
      <i/>
      <sz val="17"/>
      <color indexed="40"/>
      <name val="Times New Roman"/>
      <family val="1"/>
      <charset val="204"/>
    </font>
    <font>
      <sz val="17"/>
      <color indexed="40"/>
      <name val="Times New Roman"/>
      <family val="1"/>
      <charset val="204"/>
    </font>
    <font>
      <vertAlign val="superscript"/>
      <sz val="17"/>
      <name val="Times New Roman"/>
      <family val="1"/>
      <charset val="204"/>
    </font>
    <font>
      <b/>
      <i/>
      <sz val="17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trike/>
      <sz val="14"/>
      <color indexed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1"/>
      <color indexed="8"/>
      <name val="Calibri"/>
      <family val="2"/>
      <charset val="204"/>
    </font>
    <font>
      <b/>
      <u/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sz val="22"/>
      <color indexed="15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20"/>
      <name val="Arial Cyr"/>
      <charset val="204"/>
    </font>
    <font>
      <sz val="18"/>
      <name val="Arial Cyr"/>
      <charset val="204"/>
    </font>
    <font>
      <u/>
      <sz val="10"/>
      <name val="Arial Cyr"/>
      <charset val="204"/>
    </font>
    <font>
      <u/>
      <sz val="20"/>
      <name val="Times New Roman"/>
      <family val="1"/>
      <charset val="204"/>
    </font>
    <font>
      <b/>
      <sz val="10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5"/>
      <color indexed="36"/>
      <name val="Times New Roman"/>
      <family val="1"/>
      <charset val="204"/>
    </font>
    <font>
      <i/>
      <sz val="22"/>
      <name val="Times New Roman"/>
      <family val="1"/>
      <charset val="204"/>
    </font>
    <font>
      <sz val="15"/>
      <color indexed="9"/>
      <name val="Times New Roman"/>
      <family val="1"/>
      <charset val="204"/>
    </font>
    <font>
      <sz val="25"/>
      <name val="Times New Roman"/>
      <family val="1"/>
      <charset val="204"/>
    </font>
    <font>
      <b/>
      <sz val="25"/>
      <name val="Times New Roman"/>
      <family val="1"/>
      <charset val="204"/>
    </font>
    <font>
      <sz val="20"/>
      <color indexed="18"/>
      <name val="Times New Roman"/>
      <family val="1"/>
      <charset val="204"/>
    </font>
    <font>
      <sz val="25"/>
      <color indexed="8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Arial"/>
      <family val="2"/>
      <charset val="204"/>
    </font>
    <font>
      <b/>
      <sz val="26"/>
      <color indexed="18"/>
      <name val="Arial"/>
      <family val="2"/>
      <charset val="204"/>
    </font>
    <font>
      <b/>
      <sz val="26"/>
      <color indexed="62"/>
      <name val="Arial"/>
      <family val="2"/>
      <charset val="204"/>
    </font>
    <font>
      <b/>
      <sz val="26"/>
      <color indexed="18"/>
      <name val="Times New Roman"/>
      <family val="1"/>
      <charset val="204"/>
    </font>
    <font>
      <b/>
      <sz val="26"/>
      <color indexed="62"/>
      <name val="Times New Roman"/>
      <family val="1"/>
      <charset val="204"/>
    </font>
    <font>
      <sz val="26"/>
      <color indexed="8"/>
      <name val="Calibri"/>
      <family val="2"/>
    </font>
    <font>
      <sz val="26"/>
      <color indexed="12"/>
      <name val="Arial"/>
      <family val="2"/>
      <charset val="204"/>
    </font>
    <font>
      <sz val="25"/>
      <name val="Arial"/>
      <family val="2"/>
      <charset val="204"/>
    </font>
    <font>
      <u/>
      <sz val="25"/>
      <name val="Times New Roman"/>
      <family val="1"/>
      <charset val="204"/>
    </font>
    <font>
      <sz val="25"/>
      <color indexed="9"/>
      <name val="Times New Roman"/>
      <family val="1"/>
      <charset val="204"/>
    </font>
    <font>
      <b/>
      <sz val="11"/>
      <name val="Calibri"/>
      <family val="2"/>
    </font>
    <font>
      <sz val="18"/>
      <color indexed="18"/>
      <name val="Times New Roman"/>
      <family val="1"/>
      <charset val="204"/>
    </font>
    <font>
      <sz val="11"/>
      <color indexed="18"/>
      <name val="Calibri"/>
      <family val="2"/>
    </font>
    <font>
      <b/>
      <i/>
      <sz val="25"/>
      <name val="Times New Roman"/>
      <family val="1"/>
      <charset val="204"/>
    </font>
    <font>
      <sz val="23"/>
      <name val="Arial"/>
      <family val="2"/>
      <charset val="204"/>
    </font>
    <font>
      <sz val="23"/>
      <name val="Times New Roman"/>
      <family val="1"/>
      <charset val="204"/>
    </font>
    <font>
      <b/>
      <sz val="23"/>
      <name val="Times New Roman"/>
      <family val="1"/>
      <charset val="204"/>
    </font>
    <font>
      <sz val="35"/>
      <name val="Times New Roman"/>
      <family val="1"/>
      <charset val="204"/>
    </font>
    <font>
      <sz val="11"/>
      <name val="Calibri"/>
      <family val="2"/>
    </font>
    <font>
      <b/>
      <sz val="30"/>
      <name val="Times New Roman"/>
      <family val="1"/>
      <charset val="204"/>
    </font>
    <font>
      <b/>
      <sz val="30"/>
      <color indexed="18"/>
      <name val="Times New Roman"/>
      <family val="1"/>
      <charset val="204"/>
    </font>
    <font>
      <b/>
      <sz val="30"/>
      <color indexed="62"/>
      <name val="Times New Roman"/>
      <family val="1"/>
      <charset val="204"/>
    </font>
    <font>
      <sz val="30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1"/>
      <name val="Calibri"/>
      <family val="2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5"/>
      <color indexed="1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5"/>
      <color indexed="8"/>
      <name val="Calibri"/>
      <family val="2"/>
    </font>
    <font>
      <b/>
      <sz val="14"/>
      <color indexed="17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5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20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6"/>
      <color indexed="8"/>
      <name val="Calibri"/>
      <family val="2"/>
    </font>
    <font>
      <b/>
      <i/>
      <sz val="16"/>
      <name val="Times New Roman"/>
      <family val="1"/>
      <charset val="204"/>
    </font>
    <font>
      <strike/>
      <sz val="16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15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65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6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9" fontId="2" fillId="0" borderId="0" applyFont="0" applyFill="0" applyBorder="0" applyAlignment="0" applyProtection="0"/>
    <xf numFmtId="0" fontId="76" fillId="0" borderId="0"/>
    <xf numFmtId="172" fontId="4" fillId="0" borderId="0" applyFont="0" applyFill="0" applyBorder="0" applyAlignment="0" applyProtection="0"/>
    <xf numFmtId="173" fontId="77" fillId="0" borderId="0" applyFont="0" applyFill="0" applyBorder="0" applyAlignment="0" applyProtection="0"/>
  </cellStyleXfs>
  <cellXfs count="1704">
    <xf numFmtId="0" fontId="0" fillId="0" borderId="0" xfId="0"/>
    <xf numFmtId="0" fontId="5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11" fillId="0" borderId="0" xfId="6" applyFont="1" applyAlignment="1">
      <alignment vertical="center"/>
    </xf>
    <xf numFmtId="0" fontId="17" fillId="0" borderId="1" xfId="6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8" fillId="0" borderId="0" xfId="0" applyFont="1"/>
    <xf numFmtId="0" fontId="18" fillId="2" borderId="0" xfId="0" applyFont="1" applyFill="1"/>
    <xf numFmtId="0" fontId="19" fillId="0" borderId="0" xfId="0" applyFont="1"/>
    <xf numFmtId="0" fontId="17" fillId="3" borderId="1" xfId="0" applyFont="1" applyFill="1" applyBorder="1" applyAlignment="1">
      <alignment wrapText="1"/>
    </xf>
    <xf numFmtId="0" fontId="17" fillId="2" borderId="0" xfId="6" applyFont="1" applyFill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3" fontId="23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2" fillId="5" borderId="0" xfId="0" applyFont="1" applyFill="1"/>
    <xf numFmtId="0" fontId="13" fillId="5" borderId="0" xfId="0" applyFont="1" applyFill="1"/>
    <xf numFmtId="0" fontId="15" fillId="0" borderId="0" xfId="0" applyFont="1" applyAlignment="1">
      <alignment horizontal="left"/>
    </xf>
    <xf numFmtId="0" fontId="12" fillId="0" borderId="0" xfId="0" applyFont="1"/>
    <xf numFmtId="0" fontId="25" fillId="2" borderId="0" xfId="0" applyFont="1" applyFill="1"/>
    <xf numFmtId="0" fontId="26" fillId="2" borderId="0" xfId="0" applyFont="1" applyFill="1"/>
    <xf numFmtId="0" fontId="19" fillId="2" borderId="0" xfId="0" applyFont="1" applyFill="1"/>
    <xf numFmtId="0" fontId="27" fillId="2" borderId="0" xfId="0" applyFont="1" applyFill="1"/>
    <xf numFmtId="0" fontId="6" fillId="0" borderId="0" xfId="0" applyFont="1" applyAlignment="1">
      <alignment horizontal="left" vertical="center" wrapText="1"/>
    </xf>
    <xf numFmtId="3" fontId="23" fillId="0" borderId="0" xfId="0" applyNumberFormat="1" applyFont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9" fontId="32" fillId="4" borderId="1" xfId="15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9" fontId="32" fillId="2" borderId="0" xfId="15" applyFont="1" applyFill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3" fontId="25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35" fillId="5" borderId="0" xfId="0" applyFont="1" applyFill="1"/>
    <xf numFmtId="0" fontId="27" fillId="0" borderId="0" xfId="0" applyFont="1"/>
    <xf numFmtId="0" fontId="15" fillId="0" borderId="0" xfId="0" applyFont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4" fillId="0" borderId="0" xfId="0" applyFont="1" applyAlignment="1">
      <alignment vertical="center"/>
    </xf>
    <xf numFmtId="0" fontId="42" fillId="0" borderId="0" xfId="0" applyFont="1"/>
    <xf numFmtId="0" fontId="43" fillId="0" borderId="0" xfId="0" applyFont="1"/>
    <xf numFmtId="0" fontId="41" fillId="0" borderId="0" xfId="0" applyFont="1"/>
    <xf numFmtId="0" fontId="43" fillId="0" borderId="0" xfId="0" applyFont="1" applyAlignment="1">
      <alignment horizontal="center"/>
    </xf>
    <xf numFmtId="0" fontId="47" fillId="0" borderId="0" xfId="0" applyFont="1"/>
    <xf numFmtId="0" fontId="40" fillId="0" borderId="0" xfId="0" applyFont="1"/>
    <xf numFmtId="0" fontId="32" fillId="0" borderId="0" xfId="0" applyFont="1"/>
    <xf numFmtId="0" fontId="38" fillId="0" borderId="0" xfId="0" applyFont="1" applyAlignment="1">
      <alignment horizontal="center" vertical="center"/>
    </xf>
    <xf numFmtId="0" fontId="37" fillId="0" borderId="0" xfId="0" applyFont="1"/>
    <xf numFmtId="0" fontId="12" fillId="0" borderId="0" xfId="0" applyFont="1" applyAlignment="1" applyProtection="1">
      <alignment horizontal="left" vertical="center" wrapText="1"/>
      <protection locked="0"/>
    </xf>
    <xf numFmtId="0" fontId="58" fillId="0" borderId="0" xfId="0" applyFont="1" applyAlignment="1">
      <alignment vertical="center"/>
    </xf>
    <xf numFmtId="0" fontId="13" fillId="0" borderId="0" xfId="0" applyFont="1"/>
    <xf numFmtId="0" fontId="36" fillId="0" borderId="0" xfId="0" applyFont="1"/>
    <xf numFmtId="0" fontId="46" fillId="0" borderId="0" xfId="0" applyFont="1"/>
    <xf numFmtId="0" fontId="13" fillId="0" borderId="0" xfId="0" applyFont="1" applyAlignment="1">
      <alignment horizontal="center" vertical="center"/>
    </xf>
    <xf numFmtId="9" fontId="40" fillId="0" borderId="0" xfId="0" applyNumberFormat="1" applyFont="1" applyAlignment="1">
      <alignment horizontal="center" vertic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vertical="center"/>
    </xf>
    <xf numFmtId="0" fontId="17" fillId="3" borderId="1" xfId="6" applyFont="1" applyFill="1" applyBorder="1" applyAlignment="1">
      <alignment horizontal="left" vertical="center" wrapText="1"/>
    </xf>
    <xf numFmtId="169" fontId="57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 vertical="center"/>
    </xf>
    <xf numFmtId="0" fontId="29" fillId="2" borderId="0" xfId="0" applyFont="1" applyFill="1"/>
    <xf numFmtId="3" fontId="45" fillId="3" borderId="1" xfId="0" applyNumberFormat="1" applyFont="1" applyFill="1" applyBorder="1" applyAlignment="1">
      <alignment horizontal="center" vertical="center"/>
    </xf>
    <xf numFmtId="0" fontId="55" fillId="2" borderId="0" xfId="0" applyFont="1" applyFill="1"/>
    <xf numFmtId="169" fontId="57" fillId="0" borderId="1" xfId="0" applyNumberFormat="1" applyFont="1" applyBorder="1" applyAlignment="1">
      <alignment horizontal="center" vertical="center"/>
    </xf>
    <xf numFmtId="0" fontId="26" fillId="2" borderId="0" xfId="0" applyFont="1" applyFill="1" applyBorder="1"/>
    <xf numFmtId="0" fontId="25" fillId="2" borderId="0" xfId="0" applyFont="1" applyFill="1" applyBorder="1"/>
    <xf numFmtId="0" fontId="61" fillId="2" borderId="0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7" fillId="0" borderId="1" xfId="6" applyFont="1" applyFill="1" applyBorder="1" applyAlignment="1">
      <alignment horizontal="left" vertical="center" wrapText="1"/>
    </xf>
    <xf numFmtId="0" fontId="60" fillId="0" borderId="0" xfId="0" applyFont="1"/>
    <xf numFmtId="0" fontId="1" fillId="0" borderId="0" xfId="0" applyFont="1"/>
    <xf numFmtId="0" fontId="43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/>
    <xf numFmtId="0" fontId="41" fillId="0" borderId="0" xfId="0" applyFont="1" applyFill="1"/>
    <xf numFmtId="0" fontId="42" fillId="0" borderId="0" xfId="0" applyFont="1" applyFill="1"/>
    <xf numFmtId="0" fontId="43" fillId="0" borderId="0" xfId="0" applyFont="1" applyFill="1"/>
    <xf numFmtId="0" fontId="5" fillId="0" borderId="0" xfId="6" applyFont="1" applyBorder="1" applyAlignment="1">
      <alignment vertical="center"/>
    </xf>
    <xf numFmtId="0" fontId="13" fillId="0" borderId="0" xfId="0" applyFont="1" applyFill="1"/>
    <xf numFmtId="0" fontId="32" fillId="0" borderId="0" xfId="0" applyFont="1" applyFill="1"/>
    <xf numFmtId="0" fontId="60" fillId="0" borderId="0" xfId="0" applyFont="1" applyFill="1" applyAlignment="1">
      <alignment vertical="center"/>
    </xf>
    <xf numFmtId="0" fontId="12" fillId="0" borderId="0" xfId="0" applyFont="1" applyFill="1"/>
    <xf numFmtId="0" fontId="40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3" fontId="38" fillId="0" borderId="0" xfId="0" applyNumberFormat="1" applyFont="1"/>
    <xf numFmtId="0" fontId="31" fillId="0" borderId="0" xfId="0" applyFont="1" applyAlignment="1">
      <alignment horizontal="left"/>
    </xf>
    <xf numFmtId="0" fontId="32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vertical="center" wrapText="1"/>
    </xf>
    <xf numFmtId="0" fontId="65" fillId="2" borderId="0" xfId="13" applyFont="1" applyFill="1"/>
    <xf numFmtId="0" fontId="71" fillId="2" borderId="0" xfId="13" applyFont="1" applyFill="1"/>
    <xf numFmtId="0" fontId="74" fillId="2" borderId="0" xfId="13" applyFont="1" applyFill="1"/>
    <xf numFmtId="0" fontId="37" fillId="2" borderId="0" xfId="13" applyFont="1" applyFill="1"/>
    <xf numFmtId="0" fontId="37" fillId="2" borderId="0" xfId="13" applyFont="1" applyFill="1" applyAlignment="1"/>
    <xf numFmtId="0" fontId="17" fillId="2" borderId="0" xfId="13" applyFont="1" applyFill="1"/>
    <xf numFmtId="0" fontId="52" fillId="2" borderId="0" xfId="13" applyFont="1" applyFill="1" applyAlignment="1">
      <alignment vertical="center"/>
    </xf>
    <xf numFmtId="0" fontId="68" fillId="0" borderId="0" xfId="13" applyFont="1" applyFill="1" applyAlignment="1">
      <alignment horizontal="center"/>
    </xf>
    <xf numFmtId="0" fontId="65" fillId="0" borderId="0" xfId="13" applyFont="1" applyFill="1"/>
    <xf numFmtId="0" fontId="65" fillId="0" borderId="0" xfId="13" applyFill="1"/>
    <xf numFmtId="0" fontId="71" fillId="0" borderId="0" xfId="13" applyFont="1" applyFill="1"/>
    <xf numFmtId="0" fontId="25" fillId="0" borderId="0" xfId="0" applyFont="1" applyAlignment="1">
      <alignment horizontal="center"/>
    </xf>
    <xf numFmtId="0" fontId="78" fillId="0" borderId="0" xfId="10" applyFont="1" applyFill="1" applyAlignment="1">
      <alignment horizontal="center" wrapText="1"/>
    </xf>
    <xf numFmtId="0" fontId="48" fillId="2" borderId="1" xfId="6" applyFont="1" applyFill="1" applyBorder="1" applyAlignment="1">
      <alignment horizontal="left" vertical="center" wrapText="1"/>
    </xf>
    <xf numFmtId="0" fontId="48" fillId="2" borderId="1" xfId="6" applyFont="1" applyFill="1" applyBorder="1" applyAlignment="1">
      <alignment horizontal="center" vertical="center" wrapText="1"/>
    </xf>
    <xf numFmtId="0" fontId="49" fillId="2" borderId="1" xfId="6" applyFont="1" applyFill="1" applyBorder="1" applyAlignment="1">
      <alignment horizontal="left" vertical="center" wrapText="1"/>
    </xf>
    <xf numFmtId="4" fontId="49" fillId="2" borderId="1" xfId="6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/>
    </xf>
    <xf numFmtId="49" fontId="48" fillId="6" borderId="1" xfId="10" applyNumberFormat="1" applyFont="1" applyFill="1" applyBorder="1" applyAlignment="1">
      <alignment horizontal="center" vertical="center" wrapText="1"/>
    </xf>
    <xf numFmtId="0" fontId="54" fillId="7" borderId="1" xfId="6" applyFont="1" applyFill="1" applyBorder="1" applyAlignment="1">
      <alignment horizontal="right" vertical="center" wrapText="1"/>
    </xf>
    <xf numFmtId="0" fontId="54" fillId="7" borderId="1" xfId="0" applyFont="1" applyFill="1" applyBorder="1" applyAlignment="1">
      <alignment horizontal="right" vertical="center" wrapText="1"/>
    </xf>
    <xf numFmtId="3" fontId="84" fillId="8" borderId="1" xfId="6" applyNumberFormat="1" applyFont="1" applyFill="1" applyBorder="1" applyAlignment="1">
      <alignment horizontal="center" vertical="center" wrapText="1"/>
    </xf>
    <xf numFmtId="49" fontId="48" fillId="0" borderId="1" xfId="10" applyNumberFormat="1" applyFont="1" applyFill="1" applyBorder="1" applyAlignment="1">
      <alignment horizontal="center" vertical="center" wrapText="1"/>
    </xf>
    <xf numFmtId="0" fontId="86" fillId="0" borderId="0" xfId="0" applyFont="1"/>
    <xf numFmtId="49" fontId="48" fillId="9" borderId="1" xfId="1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1" fontId="49" fillId="0" borderId="1" xfId="1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9" fillId="0" borderId="1" xfId="10" applyNumberFormat="1" applyFont="1" applyFill="1" applyBorder="1" applyAlignment="1">
      <alignment horizontal="center" vertical="center"/>
    </xf>
    <xf numFmtId="4" fontId="53" fillId="7" borderId="1" xfId="0" applyNumberFormat="1" applyFont="1" applyFill="1" applyBorder="1" applyAlignment="1">
      <alignment horizontal="center" vertical="center"/>
    </xf>
    <xf numFmtId="3" fontId="53" fillId="7" borderId="1" xfId="0" applyNumberFormat="1" applyFont="1" applyFill="1" applyBorder="1" applyAlignment="1">
      <alignment horizontal="center" vertical="center"/>
    </xf>
    <xf numFmtId="3" fontId="54" fillId="7" borderId="1" xfId="10" applyNumberFormat="1" applyFont="1" applyFill="1" applyBorder="1" applyAlignment="1">
      <alignment horizontal="center" vertical="center"/>
    </xf>
    <xf numFmtId="0" fontId="82" fillId="7" borderId="0" xfId="0" applyFont="1" applyFill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3" fillId="7" borderId="0" xfId="0" applyFont="1" applyFill="1" applyAlignment="1">
      <alignment horizontal="center" vertical="center"/>
    </xf>
    <xf numFmtId="4" fontId="53" fillId="8" borderId="1" xfId="0" applyNumberFormat="1" applyFont="1" applyFill="1" applyBorder="1" applyAlignment="1">
      <alignment horizontal="center" vertical="center"/>
    </xf>
    <xf numFmtId="3" fontId="53" fillId="8" borderId="1" xfId="0" applyNumberFormat="1" applyFont="1" applyFill="1" applyBorder="1" applyAlignment="1">
      <alignment horizontal="center" vertical="center"/>
    </xf>
    <xf numFmtId="3" fontId="54" fillId="8" borderId="1" xfId="10" applyNumberFormat="1" applyFont="1" applyFill="1" applyBorder="1" applyAlignment="1">
      <alignment horizontal="center" vertical="center"/>
    </xf>
    <xf numFmtId="0" fontId="83" fillId="8" borderId="0" xfId="0" applyFont="1" applyFill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81" fillId="6" borderId="0" xfId="0" applyFont="1" applyFill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49" fillId="0" borderId="1" xfId="9" applyFont="1" applyBorder="1" applyAlignment="1">
      <alignment horizontal="center" vertical="center"/>
    </xf>
    <xf numFmtId="3" fontId="49" fillId="0" borderId="1" xfId="9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48" fillId="0" borderId="1" xfId="9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24" fillId="9" borderId="1" xfId="0" applyFont="1" applyFill="1" applyBorder="1" applyAlignment="1">
      <alignment horizontal="center" vertical="center"/>
    </xf>
    <xf numFmtId="0" fontId="81" fillId="9" borderId="0" xfId="0" applyFont="1" applyFill="1" applyAlignment="1">
      <alignment horizontal="center" vertical="center"/>
    </xf>
    <xf numFmtId="4" fontId="49" fillId="0" borderId="1" xfId="11" applyNumberFormat="1" applyFont="1" applyFill="1" applyBorder="1" applyAlignment="1">
      <alignment horizontal="center" vertical="center" wrapText="1"/>
    </xf>
    <xf numFmtId="4" fontId="49" fillId="0" borderId="1" xfId="11" applyNumberFormat="1" applyFont="1" applyFill="1" applyBorder="1" applyAlignment="1">
      <alignment horizontal="center" vertical="center"/>
    </xf>
    <xf numFmtId="0" fontId="78" fillId="0" borderId="0" xfId="10" applyFont="1" applyFill="1" applyAlignment="1">
      <alignment horizontal="left" wrapText="1"/>
    </xf>
    <xf numFmtId="0" fontId="48" fillId="0" borderId="1" xfId="10" applyFont="1" applyFill="1" applyBorder="1" applyAlignment="1">
      <alignment horizontal="left" vertical="center"/>
    </xf>
    <xf numFmtId="0" fontId="54" fillId="8" borderId="1" xfId="6" applyFont="1" applyFill="1" applyBorder="1" applyAlignment="1">
      <alignment horizontal="left" vertical="center" wrapText="1"/>
    </xf>
    <xf numFmtId="0" fontId="48" fillId="6" borderId="1" xfId="11" applyFont="1" applyFill="1" applyBorder="1" applyAlignment="1">
      <alignment horizontal="left" vertical="center" wrapText="1"/>
    </xf>
    <xf numFmtId="0" fontId="48" fillId="0" borderId="1" xfId="9" applyFont="1" applyBorder="1" applyAlignment="1">
      <alignment horizontal="left" vertical="center"/>
    </xf>
    <xf numFmtId="0" fontId="48" fillId="9" borderId="1" xfId="11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85" fillId="0" borderId="1" xfId="0" applyFont="1" applyBorder="1"/>
    <xf numFmtId="0" fontId="92" fillId="0" borderId="0" xfId="0" applyFont="1"/>
    <xf numFmtId="0" fontId="100" fillId="0" borderId="0" xfId="0" applyFont="1"/>
    <xf numFmtId="0" fontId="101" fillId="0" borderId="1" xfId="0" applyFont="1" applyBorder="1"/>
    <xf numFmtId="0" fontId="87" fillId="0" borderId="1" xfId="6" applyNumberFormat="1" applyFont="1" applyFill="1" applyBorder="1" applyAlignment="1">
      <alignment horizontal="center" vertical="center"/>
    </xf>
    <xf numFmtId="0" fontId="88" fillId="8" borderId="1" xfId="6" applyFont="1" applyFill="1" applyBorder="1" applyAlignment="1">
      <alignment horizontal="left" vertical="center" wrapText="1"/>
    </xf>
    <xf numFmtId="4" fontId="102" fillId="8" borderId="1" xfId="0" quotePrefix="1" applyNumberFormat="1" applyFont="1" applyFill="1" applyBorder="1" applyAlignment="1">
      <alignment horizontal="center"/>
    </xf>
    <xf numFmtId="4" fontId="102" fillId="8" borderId="1" xfId="0" applyNumberFormat="1" applyFont="1" applyFill="1" applyBorder="1"/>
    <xf numFmtId="0" fontId="88" fillId="2" borderId="1" xfId="6" applyFont="1" applyFill="1" applyBorder="1" applyAlignment="1">
      <alignment vertical="center" wrapText="1"/>
    </xf>
    <xf numFmtId="4" fontId="103" fillId="2" borderId="1" xfId="0" applyNumberFormat="1" applyFont="1" applyFill="1" applyBorder="1" applyProtection="1">
      <protection locked="0"/>
    </xf>
    <xf numFmtId="0" fontId="87" fillId="2" borderId="1" xfId="6" applyFont="1" applyFill="1" applyBorder="1" applyAlignment="1">
      <alignment vertical="center" wrapText="1"/>
    </xf>
    <xf numFmtId="0" fontId="88" fillId="8" borderId="1" xfId="6" applyFont="1" applyFill="1" applyBorder="1" applyAlignment="1">
      <alignment vertical="center" wrapText="1"/>
    </xf>
    <xf numFmtId="0" fontId="104" fillId="8" borderId="1" xfId="6" applyFont="1" applyFill="1" applyBorder="1" applyAlignment="1">
      <alignment vertical="center" wrapText="1"/>
    </xf>
    <xf numFmtId="0" fontId="87" fillId="2" borderId="1" xfId="6" applyFont="1" applyFill="1" applyBorder="1" applyAlignment="1">
      <alignment horizontal="right" vertical="center" wrapText="1"/>
    </xf>
    <xf numFmtId="0" fontId="87" fillId="2" borderId="1" xfId="6" applyFont="1" applyFill="1" applyBorder="1" applyAlignment="1">
      <alignment horizontal="left" vertical="center" wrapText="1"/>
    </xf>
    <xf numFmtId="4" fontId="102" fillId="8" borderId="1" xfId="0" applyNumberFormat="1" applyFont="1" applyFill="1" applyBorder="1" applyProtection="1"/>
    <xf numFmtId="0" fontId="104" fillId="2" borderId="1" xfId="6" applyFont="1" applyFill="1" applyBorder="1" applyAlignment="1">
      <alignment vertical="center" wrapText="1"/>
    </xf>
    <xf numFmtId="0" fontId="104" fillId="2" borderId="1" xfId="6" applyFont="1" applyFill="1" applyBorder="1" applyAlignment="1">
      <alignment vertical="center"/>
    </xf>
    <xf numFmtId="0" fontId="105" fillId="2" borderId="1" xfId="6" applyFont="1" applyFill="1" applyBorder="1" applyAlignment="1">
      <alignment vertical="center" wrapText="1"/>
    </xf>
    <xf numFmtId="0" fontId="103" fillId="2" borderId="1" xfId="6" applyFont="1" applyFill="1" applyBorder="1" applyAlignment="1">
      <alignment horizontal="left" vertical="center" wrapText="1"/>
    </xf>
    <xf numFmtId="0" fontId="87" fillId="0" borderId="1" xfId="6" applyFont="1" applyFill="1" applyBorder="1" applyAlignment="1">
      <alignment vertical="center" wrapText="1"/>
    </xf>
    <xf numFmtId="0" fontId="102" fillId="2" borderId="1" xfId="6" applyFont="1" applyFill="1" applyBorder="1" applyAlignment="1">
      <alignment vertical="center" wrapText="1"/>
    </xf>
    <xf numFmtId="0" fontId="101" fillId="0" borderId="0" xfId="0" applyFont="1"/>
    <xf numFmtId="0" fontId="107" fillId="0" borderId="1" xfId="0" applyFont="1" applyBorder="1"/>
    <xf numFmtId="0" fontId="88" fillId="0" borderId="1" xfId="6" applyFont="1" applyFill="1" applyBorder="1" applyAlignment="1">
      <alignment horizontal="left" vertical="center" wrapText="1"/>
    </xf>
    <xf numFmtId="0" fontId="88" fillId="0" borderId="1" xfId="0" applyFont="1" applyBorder="1" applyAlignment="1">
      <alignment horizontal="center" vertical="center" wrapText="1"/>
    </xf>
    <xf numFmtId="4" fontId="47" fillId="0" borderId="1" xfId="0" applyNumberFormat="1" applyFont="1" applyFill="1" applyBorder="1" applyAlignment="1">
      <alignment horizontal="center"/>
    </xf>
    <xf numFmtId="3" fontId="47" fillId="0" borderId="1" xfId="0" applyNumberFormat="1" applyFont="1" applyFill="1" applyBorder="1" applyAlignment="1">
      <alignment horizontal="center"/>
    </xf>
    <xf numFmtId="0" fontId="6" fillId="0" borderId="0" xfId="6" applyFont="1"/>
    <xf numFmtId="0" fontId="4" fillId="0" borderId="0" xfId="6"/>
    <xf numFmtId="0" fontId="7" fillId="0" borderId="0" xfId="6" applyFont="1" applyAlignment="1">
      <alignment horizontal="center" wrapText="1"/>
    </xf>
    <xf numFmtId="0" fontId="6" fillId="0" borderId="0" xfId="6" applyFont="1" applyAlignment="1">
      <alignment wrapText="1"/>
    </xf>
    <xf numFmtId="0" fontId="92" fillId="0" borderId="1" xfId="6" applyFont="1" applyBorder="1" applyAlignment="1">
      <alignment horizontal="left" vertical="center" wrapText="1"/>
    </xf>
    <xf numFmtId="2" fontId="92" fillId="0" borderId="1" xfId="6" applyNumberFormat="1" applyFont="1" applyBorder="1" applyAlignment="1">
      <alignment horizontal="center" vertical="center"/>
    </xf>
    <xf numFmtId="0" fontId="4" fillId="0" borderId="0" xfId="6" applyFont="1"/>
    <xf numFmtId="0" fontId="108" fillId="0" borderId="0" xfId="0" applyFont="1"/>
    <xf numFmtId="0" fontId="109" fillId="0" borderId="1" xfId="0" applyFont="1" applyBorder="1"/>
    <xf numFmtId="0" fontId="100" fillId="0" borderId="0" xfId="0" applyFont="1" applyAlignment="1">
      <alignment horizontal="center"/>
    </xf>
    <xf numFmtId="0" fontId="110" fillId="0" borderId="0" xfId="0" applyFont="1"/>
    <xf numFmtId="0" fontId="47" fillId="0" borderId="0" xfId="0" applyFont="1" applyAlignment="1">
      <alignment horizontal="center"/>
    </xf>
    <xf numFmtId="0" fontId="86" fillId="0" borderId="0" xfId="0" applyFont="1" applyBorder="1"/>
    <xf numFmtId="2" fontId="0" fillId="0" borderId="0" xfId="0" applyNumberFormat="1"/>
    <xf numFmtId="0" fontId="111" fillId="0" borderId="1" xfId="0" applyFont="1" applyBorder="1"/>
    <xf numFmtId="0" fontId="33" fillId="0" borderId="1" xfId="6" applyNumberFormat="1" applyFont="1" applyFill="1" applyBorder="1" applyAlignment="1">
      <alignment horizontal="center" vertical="center"/>
    </xf>
    <xf numFmtId="0" fontId="111" fillId="0" borderId="0" xfId="0" applyFont="1"/>
    <xf numFmtId="3" fontId="92" fillId="0" borderId="1" xfId="6" applyNumberFormat="1" applyFont="1" applyBorder="1" applyAlignment="1">
      <alignment horizontal="center" vertical="center"/>
    </xf>
    <xf numFmtId="3" fontId="95" fillId="0" borderId="1" xfId="6" applyNumberFormat="1" applyFont="1" applyBorder="1" applyAlignment="1">
      <alignment horizontal="center" vertical="center" wrapText="1"/>
    </xf>
    <xf numFmtId="0" fontId="52" fillId="0" borderId="0" xfId="13" applyFont="1" applyFill="1" applyAlignment="1">
      <alignment vertical="center"/>
    </xf>
    <xf numFmtId="2" fontId="52" fillId="0" borderId="0" xfId="13" applyNumberFormat="1" applyFont="1" applyFill="1" applyAlignment="1">
      <alignment vertical="center"/>
    </xf>
    <xf numFmtId="0" fontId="51" fillId="0" borderId="0" xfId="13" applyFont="1" applyFill="1" applyAlignment="1">
      <alignment vertical="center"/>
    </xf>
    <xf numFmtId="0" fontId="51" fillId="0" borderId="0" xfId="13" applyFont="1" applyFill="1"/>
    <xf numFmtId="0" fontId="75" fillId="0" borderId="0" xfId="13" applyFont="1" applyFill="1" applyAlignment="1">
      <alignment vertical="center"/>
    </xf>
    <xf numFmtId="0" fontId="95" fillId="0" borderId="1" xfId="6" applyFont="1" applyBorder="1" applyAlignment="1">
      <alignment vertical="center" wrapText="1"/>
    </xf>
    <xf numFmtId="0" fontId="113" fillId="0" borderId="0" xfId="0" applyFont="1"/>
    <xf numFmtId="0" fontId="92" fillId="0" borderId="1" xfId="6" applyFont="1" applyBorder="1" applyAlignment="1">
      <alignment vertical="center" wrapText="1"/>
    </xf>
    <xf numFmtId="3" fontId="95" fillId="0" borderId="1" xfId="6" applyNumberFormat="1" applyFont="1" applyBorder="1" applyAlignment="1">
      <alignment horizontal="center" vertical="center"/>
    </xf>
    <xf numFmtId="0" fontId="95" fillId="0" borderId="1" xfId="0" applyFont="1" applyFill="1" applyBorder="1" applyAlignment="1">
      <alignment horizontal="center" vertical="center"/>
    </xf>
    <xf numFmtId="0" fontId="33" fillId="0" borderId="0" xfId="9" applyFont="1" applyBorder="1" applyAlignment="1">
      <alignment horizontal="center" wrapText="1"/>
    </xf>
    <xf numFmtId="0" fontId="33" fillId="0" borderId="0" xfId="9" applyFont="1" applyBorder="1" applyAlignment="1">
      <alignment wrapText="1"/>
    </xf>
    <xf numFmtId="0" fontId="33" fillId="0" borderId="0" xfId="9" applyFont="1" applyBorder="1" applyAlignment="1">
      <alignment horizontal="right" wrapText="1"/>
    </xf>
    <xf numFmtId="0" fontId="114" fillId="0" borderId="0" xfId="9" applyFont="1" applyBorder="1" applyAlignment="1">
      <alignment horizontal="center" wrapText="1"/>
    </xf>
    <xf numFmtId="0" fontId="115" fillId="0" borderId="0" xfId="9" applyFont="1" applyBorder="1" applyAlignment="1">
      <alignment horizontal="right"/>
    </xf>
    <xf numFmtId="0" fontId="116" fillId="0" borderId="0" xfId="9" applyFont="1" applyBorder="1" applyAlignment="1">
      <alignment horizontal="right"/>
    </xf>
    <xf numFmtId="0" fontId="117" fillId="0" borderId="0" xfId="9" applyFont="1" applyBorder="1" applyAlignment="1">
      <alignment horizontal="right"/>
    </xf>
    <xf numFmtId="0" fontId="115" fillId="0" borderId="0" xfId="9" applyFont="1" applyBorder="1" applyAlignment="1">
      <alignment horizontal="center"/>
    </xf>
    <xf numFmtId="0" fontId="117" fillId="0" borderId="0" xfId="9" applyFont="1"/>
    <xf numFmtId="0" fontId="17" fillId="0" borderId="1" xfId="9" applyFont="1" applyFill="1" applyBorder="1" applyAlignment="1">
      <alignment horizontal="center"/>
    </xf>
    <xf numFmtId="0" fontId="4" fillId="0" borderId="0" xfId="9" applyFill="1" applyAlignment="1">
      <alignment horizontal="center"/>
    </xf>
    <xf numFmtId="0" fontId="17" fillId="0" borderId="1" xfId="9" applyFont="1" applyFill="1" applyBorder="1" applyAlignment="1"/>
    <xf numFmtId="0" fontId="33" fillId="0" borderId="1" xfId="9" applyFont="1" applyFill="1" applyBorder="1" applyAlignment="1">
      <alignment horizontal="center"/>
    </xf>
    <xf numFmtId="0" fontId="118" fillId="0" borderId="1" xfId="9" applyFont="1" applyFill="1" applyBorder="1" applyAlignment="1">
      <alignment horizontal="center"/>
    </xf>
    <xf numFmtId="0" fontId="119" fillId="0" borderId="1" xfId="9" applyFont="1" applyFill="1" applyBorder="1" applyAlignment="1">
      <alignment horizontal="center"/>
    </xf>
    <xf numFmtId="0" fontId="88" fillId="0" borderId="1" xfId="9" applyFont="1" applyFill="1" applyBorder="1" applyAlignment="1">
      <alignment horizontal="center" wrapText="1"/>
    </xf>
    <xf numFmtId="0" fontId="7" fillId="0" borderId="1" xfId="9" applyFont="1" applyFill="1" applyBorder="1" applyAlignment="1">
      <alignment horizontal="justify"/>
    </xf>
    <xf numFmtId="0" fontId="7" fillId="0" borderId="1" xfId="9" applyFont="1" applyFill="1" applyBorder="1" applyAlignment="1">
      <alignment horizontal="center"/>
    </xf>
    <xf numFmtId="0" fontId="7" fillId="0" borderId="1" xfId="9" applyFont="1" applyFill="1" applyBorder="1" applyAlignment="1"/>
    <xf numFmtId="0" fontId="33" fillId="0" borderId="1" xfId="9" applyFont="1" applyFill="1" applyBorder="1" applyAlignment="1">
      <alignment horizontal="right"/>
    </xf>
    <xf numFmtId="0" fontId="118" fillId="0" borderId="1" xfId="9" applyFont="1" applyFill="1" applyBorder="1" applyAlignment="1">
      <alignment horizontal="right"/>
    </xf>
    <xf numFmtId="0" fontId="17" fillId="0" borderId="1" xfId="9" applyFont="1" applyFill="1" applyBorder="1" applyAlignment="1">
      <alignment horizontal="right"/>
    </xf>
    <xf numFmtId="0" fontId="4" fillId="0" borderId="0" xfId="9" applyFill="1"/>
    <xf numFmtId="0" fontId="121" fillId="0" borderId="1" xfId="9" applyFont="1" applyFill="1" applyBorder="1" applyAlignment="1">
      <alignment horizontal="justify" wrapText="1"/>
    </xf>
    <xf numFmtId="0" fontId="121" fillId="0" borderId="1" xfId="9" applyFont="1" applyFill="1" applyBorder="1" applyAlignment="1">
      <alignment horizontal="center" wrapText="1"/>
    </xf>
    <xf numFmtId="0" fontId="121" fillId="0" borderId="1" xfId="9" applyFont="1" applyFill="1" applyBorder="1" applyAlignment="1">
      <alignment wrapText="1"/>
    </xf>
    <xf numFmtId="0" fontId="121" fillId="0" borderId="1" xfId="9" applyFont="1" applyFill="1" applyBorder="1" applyAlignment="1">
      <alignment horizontal="right" wrapText="1"/>
    </xf>
    <xf numFmtId="0" fontId="122" fillId="0" borderId="1" xfId="9" applyFont="1" applyFill="1" applyBorder="1" applyAlignment="1">
      <alignment horizontal="center" wrapText="1"/>
    </xf>
    <xf numFmtId="0" fontId="123" fillId="0" borderId="1" xfId="9" applyFont="1" applyFill="1" applyBorder="1" applyAlignment="1">
      <alignment horizontal="center" wrapText="1"/>
    </xf>
    <xf numFmtId="0" fontId="122" fillId="0" borderId="1" xfId="9" applyFont="1" applyFill="1" applyBorder="1" applyAlignment="1">
      <alignment horizontal="right" wrapText="1"/>
    </xf>
    <xf numFmtId="0" fontId="124" fillId="0" borderId="1" xfId="9" applyFont="1" applyFill="1" applyBorder="1" applyAlignment="1">
      <alignment horizontal="right" wrapText="1"/>
    </xf>
    <xf numFmtId="0" fontId="125" fillId="0" borderId="1" xfId="9" applyFont="1" applyFill="1" applyBorder="1" applyAlignment="1">
      <alignment horizontal="justify" wrapText="1"/>
    </xf>
    <xf numFmtId="0" fontId="118" fillId="0" borderId="1" xfId="9" applyFont="1" applyFill="1" applyBorder="1" applyAlignment="1">
      <alignment horizontal="center" wrapText="1"/>
    </xf>
    <xf numFmtId="9" fontId="33" fillId="0" borderId="1" xfId="9" applyNumberFormat="1" applyFont="1" applyFill="1" applyBorder="1" applyAlignment="1">
      <alignment wrapText="1"/>
    </xf>
    <xf numFmtId="0" fontId="33" fillId="0" borderId="1" xfId="9" applyFont="1" applyFill="1" applyBorder="1" applyAlignment="1">
      <alignment horizontal="right" wrapText="1"/>
    </xf>
    <xf numFmtId="0" fontId="119" fillId="0" borderId="1" xfId="9" applyFont="1" applyFill="1" applyBorder="1" applyAlignment="1">
      <alignment horizontal="center" wrapText="1"/>
    </xf>
    <xf numFmtId="2" fontId="125" fillId="0" borderId="1" xfId="9" applyNumberFormat="1" applyFont="1" applyFill="1" applyBorder="1" applyAlignment="1">
      <alignment horizontal="right" wrapText="1"/>
    </xf>
    <xf numFmtId="0" fontId="125" fillId="0" borderId="1" xfId="9" applyFont="1" applyFill="1" applyBorder="1" applyAlignment="1">
      <alignment horizontal="right" wrapText="1"/>
    </xf>
    <xf numFmtId="1" fontId="33" fillId="0" borderId="1" xfId="9" applyNumberFormat="1" applyFont="1" applyFill="1" applyBorder="1" applyAlignment="1">
      <alignment horizontal="right" wrapText="1"/>
    </xf>
    <xf numFmtId="0" fontId="118" fillId="0" borderId="1" xfId="9" applyFont="1" applyFill="1" applyBorder="1" applyAlignment="1">
      <alignment horizontal="right" wrapText="1"/>
    </xf>
    <xf numFmtId="2" fontId="122" fillId="0" borderId="1" xfId="9" applyNumberFormat="1" applyFont="1" applyFill="1" applyBorder="1" applyAlignment="1">
      <alignment horizontal="right" wrapText="1"/>
    </xf>
    <xf numFmtId="1" fontId="121" fillId="0" borderId="1" xfId="9" applyNumberFormat="1" applyFont="1" applyFill="1" applyBorder="1" applyAlignment="1">
      <alignment horizontal="right" wrapText="1"/>
    </xf>
    <xf numFmtId="0" fontId="9" fillId="0" borderId="1" xfId="9" applyFont="1" applyFill="1" applyBorder="1" applyAlignment="1">
      <alignment horizontal="justify" wrapText="1"/>
    </xf>
    <xf numFmtId="0" fontId="33" fillId="0" borderId="1" xfId="9" applyFont="1" applyFill="1" applyBorder="1" applyAlignment="1">
      <alignment wrapText="1"/>
    </xf>
    <xf numFmtId="3" fontId="88" fillId="0" borderId="1" xfId="9" applyNumberFormat="1" applyFont="1" applyFill="1" applyBorder="1" applyAlignment="1">
      <alignment horizontal="right"/>
    </xf>
    <xf numFmtId="0" fontId="4" fillId="0" borderId="0" xfId="9"/>
    <xf numFmtId="0" fontId="120" fillId="0" borderId="0" xfId="9" applyFont="1" applyAlignment="1">
      <alignment horizontal="center"/>
    </xf>
    <xf numFmtId="0" fontId="4" fillId="0" borderId="0" xfId="9" applyAlignment="1"/>
    <xf numFmtId="0" fontId="115" fillId="0" borderId="0" xfId="9" applyFont="1" applyAlignment="1">
      <alignment horizontal="right"/>
    </xf>
    <xf numFmtId="0" fontId="115" fillId="0" borderId="0" xfId="9" applyFont="1" applyAlignment="1">
      <alignment horizontal="center"/>
    </xf>
    <xf numFmtId="0" fontId="126" fillId="0" borderId="0" xfId="9" applyFont="1" applyAlignment="1">
      <alignment horizontal="center"/>
    </xf>
    <xf numFmtId="0" fontId="4" fillId="0" borderId="0" xfId="9" applyAlignment="1">
      <alignment horizontal="right"/>
    </xf>
    <xf numFmtId="0" fontId="120" fillId="0" borderId="0" xfId="9" applyFont="1" applyAlignment="1">
      <alignment horizontal="right"/>
    </xf>
    <xf numFmtId="1" fontId="120" fillId="0" borderId="0" xfId="9" applyNumberFormat="1" applyFont="1" applyAlignment="1">
      <alignment horizontal="right"/>
    </xf>
    <xf numFmtId="1" fontId="127" fillId="0" borderId="0" xfId="9" applyNumberFormat="1" applyFont="1" applyAlignment="1">
      <alignment horizontal="right"/>
    </xf>
    <xf numFmtId="0" fontId="116" fillId="0" borderId="0" xfId="9" applyFont="1" applyAlignment="1">
      <alignment horizontal="right"/>
    </xf>
    <xf numFmtId="0" fontId="33" fillId="0" borderId="1" xfId="11" applyFont="1" applyFill="1" applyBorder="1" applyAlignment="1">
      <alignment wrapText="1"/>
    </xf>
    <xf numFmtId="0" fontId="9" fillId="0" borderId="1" xfId="9" applyFont="1" applyBorder="1" applyAlignment="1">
      <alignment horizontal="center"/>
    </xf>
    <xf numFmtId="0" fontId="9" fillId="0" borderId="1" xfId="9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8" fillId="0" borderId="0" xfId="9" applyFont="1" applyAlignment="1">
      <alignment horizontal="right"/>
    </xf>
    <xf numFmtId="0" fontId="47" fillId="0" borderId="0" xfId="9" applyFont="1" applyAlignment="1">
      <alignment horizontal="right"/>
    </xf>
    <xf numFmtId="0" fontId="87" fillId="0" borderId="0" xfId="9" applyFont="1" applyAlignment="1">
      <alignment horizontal="right"/>
    </xf>
    <xf numFmtId="0" fontId="88" fillId="0" borderId="0" xfId="9" applyFont="1" applyAlignment="1">
      <alignment horizontal="center"/>
    </xf>
    <xf numFmtId="0" fontId="9" fillId="2" borderId="1" xfId="6" applyFont="1" applyFill="1" applyBorder="1" applyAlignment="1">
      <alignment horizontal="left" vertical="center" wrapText="1"/>
    </xf>
    <xf numFmtId="3" fontId="33" fillId="0" borderId="1" xfId="10" applyNumberFormat="1" applyFont="1" applyFill="1" applyBorder="1" applyAlignment="1">
      <alignment horizontal="center"/>
    </xf>
    <xf numFmtId="1" fontId="9" fillId="0" borderId="1" xfId="9" applyNumberFormat="1" applyFont="1" applyBorder="1" applyAlignment="1">
      <alignment horizontal="center"/>
    </xf>
    <xf numFmtId="1" fontId="9" fillId="0" borderId="1" xfId="9" applyNumberFormat="1" applyFont="1" applyFill="1" applyBorder="1" applyAlignment="1">
      <alignment horizontal="center"/>
    </xf>
    <xf numFmtId="0" fontId="9" fillId="0" borderId="1" xfId="9" applyFont="1" applyBorder="1"/>
    <xf numFmtId="0" fontId="9" fillId="0" borderId="1" xfId="9" applyFont="1" applyBorder="1" applyAlignment="1"/>
    <xf numFmtId="0" fontId="33" fillId="0" borderId="1" xfId="9" applyFont="1" applyBorder="1" applyAlignment="1">
      <alignment horizontal="right"/>
    </xf>
    <xf numFmtId="0" fontId="33" fillId="0" borderId="1" xfId="9" applyFont="1" applyBorder="1" applyAlignment="1">
      <alignment horizontal="center"/>
    </xf>
    <xf numFmtId="0" fontId="114" fillId="0" borderId="1" xfId="9" applyFont="1" applyBorder="1" applyAlignment="1">
      <alignment horizontal="center"/>
    </xf>
    <xf numFmtId="0" fontId="9" fillId="0" borderId="1" xfId="9" applyFont="1" applyBorder="1" applyAlignment="1">
      <alignment horizontal="right"/>
    </xf>
    <xf numFmtId="0" fontId="9" fillId="0" borderId="0" xfId="9" applyFont="1" applyBorder="1" applyAlignment="1">
      <alignment horizontal="center" wrapText="1"/>
    </xf>
    <xf numFmtId="0" fontId="125" fillId="0" borderId="1" xfId="9" applyFont="1" applyFill="1" applyBorder="1" applyAlignment="1">
      <alignment horizontal="center" wrapText="1"/>
    </xf>
    <xf numFmtId="0" fontId="9" fillId="0" borderId="1" xfId="9" applyFont="1" applyFill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0" fillId="0" borderId="0" xfId="0" applyFont="1"/>
    <xf numFmtId="0" fontId="87" fillId="0" borderId="2" xfId="9" applyFont="1" applyFill="1" applyBorder="1" applyAlignment="1">
      <alignment horizontal="center" wrapText="1"/>
    </xf>
    <xf numFmtId="0" fontId="87" fillId="0" borderId="1" xfId="9" applyFont="1" applyFill="1" applyBorder="1" applyAlignment="1">
      <alignment horizontal="center" wrapText="1"/>
    </xf>
    <xf numFmtId="0" fontId="87" fillId="0" borderId="3" xfId="9" applyFont="1" applyFill="1" applyBorder="1" applyAlignment="1">
      <alignment horizontal="center" wrapText="1"/>
    </xf>
    <xf numFmtId="0" fontId="87" fillId="0" borderId="0" xfId="9" applyFont="1" applyFill="1" applyAlignment="1">
      <alignment horizontal="center"/>
    </xf>
    <xf numFmtId="0" fontId="87" fillId="0" borderId="1" xfId="9" applyFont="1" applyFill="1" applyBorder="1" applyAlignment="1">
      <alignment horizontal="center"/>
    </xf>
    <xf numFmtId="0" fontId="88" fillId="0" borderId="1" xfId="9" applyFont="1" applyFill="1" applyBorder="1" applyAlignment="1">
      <alignment horizontal="right"/>
    </xf>
    <xf numFmtId="0" fontId="88" fillId="0" borderId="2" xfId="9" applyFont="1" applyFill="1" applyBorder="1" applyAlignment="1">
      <alignment horizontal="right"/>
    </xf>
    <xf numFmtId="0" fontId="47" fillId="0" borderId="1" xfId="9" applyFont="1" applyFill="1" applyBorder="1" applyAlignment="1">
      <alignment horizontal="right"/>
    </xf>
    <xf numFmtId="0" fontId="88" fillId="0" borderId="1" xfId="9" applyFont="1" applyFill="1" applyBorder="1" applyAlignment="1">
      <alignment horizontal="center"/>
    </xf>
    <xf numFmtId="2" fontId="88" fillId="0" borderId="1" xfId="9" applyNumberFormat="1" applyFont="1" applyFill="1" applyBorder="1" applyAlignment="1">
      <alignment horizontal="center"/>
    </xf>
    <xf numFmtId="0" fontId="87" fillId="0" borderId="0" xfId="9" applyFont="1" applyFill="1"/>
    <xf numFmtId="0" fontId="87" fillId="0" borderId="1" xfId="9" applyFont="1" applyFill="1" applyBorder="1" applyAlignment="1">
      <alignment horizontal="right"/>
    </xf>
    <xf numFmtId="2" fontId="88" fillId="0" borderId="1" xfId="9" applyNumberFormat="1" applyFont="1" applyFill="1" applyBorder="1" applyAlignment="1">
      <alignment horizontal="right"/>
    </xf>
    <xf numFmtId="1" fontId="88" fillId="0" borderId="1" xfId="9" applyNumberFormat="1" applyFont="1" applyFill="1" applyBorder="1" applyAlignment="1">
      <alignment horizontal="right"/>
    </xf>
    <xf numFmtId="1" fontId="88" fillId="0" borderId="2" xfId="9" applyNumberFormat="1" applyFont="1" applyFill="1" applyBorder="1" applyAlignment="1">
      <alignment horizontal="right"/>
    </xf>
    <xf numFmtId="1" fontId="87" fillId="0" borderId="1" xfId="9" applyNumberFormat="1" applyFont="1" applyFill="1" applyBorder="1" applyAlignment="1">
      <alignment horizontal="right"/>
    </xf>
    <xf numFmtId="1" fontId="88" fillId="0" borderId="1" xfId="9" applyNumberFormat="1" applyFont="1" applyFill="1" applyBorder="1" applyAlignment="1">
      <alignment horizontal="center"/>
    </xf>
    <xf numFmtId="3" fontId="88" fillId="0" borderId="1" xfId="9" applyNumberFormat="1" applyFont="1" applyFill="1" applyBorder="1" applyAlignment="1">
      <alignment horizontal="center"/>
    </xf>
    <xf numFmtId="3" fontId="128" fillId="0" borderId="1" xfId="9" applyNumberFormat="1" applyFont="1" applyFill="1" applyBorder="1" applyAlignment="1">
      <alignment horizontal="center"/>
    </xf>
    <xf numFmtId="0" fontId="9" fillId="0" borderId="2" xfId="9" applyFont="1" applyFill="1" applyBorder="1" applyAlignment="1">
      <alignment horizontal="center" wrapText="1"/>
    </xf>
    <xf numFmtId="0" fontId="87" fillId="0" borderId="2" xfId="9" applyFont="1" applyFill="1" applyBorder="1" applyAlignment="1">
      <alignment horizontal="center"/>
    </xf>
    <xf numFmtId="0" fontId="87" fillId="0" borderId="2" xfId="9" applyFont="1" applyFill="1" applyBorder="1" applyAlignment="1"/>
    <xf numFmtId="0" fontId="129" fillId="0" borderId="2" xfId="9" applyFont="1" applyFill="1" applyBorder="1" applyAlignment="1">
      <alignment horizontal="center" wrapText="1"/>
    </xf>
    <xf numFmtId="0" fontId="88" fillId="0" borderId="1" xfId="9" applyFont="1" applyFill="1" applyBorder="1" applyAlignment="1">
      <alignment horizontal="justify"/>
    </xf>
    <xf numFmtId="0" fontId="88" fillId="0" borderId="1" xfId="9" applyFont="1" applyFill="1" applyBorder="1" applyAlignment="1"/>
    <xf numFmtId="0" fontId="128" fillId="0" borderId="1" xfId="9" applyFont="1" applyFill="1" applyBorder="1" applyAlignment="1">
      <alignment horizontal="center"/>
    </xf>
    <xf numFmtId="0" fontId="130" fillId="0" borderId="1" xfId="9" applyFont="1" applyFill="1" applyBorder="1" applyAlignment="1">
      <alignment horizontal="justify" wrapText="1"/>
    </xf>
    <xf numFmtId="0" fontId="131" fillId="0" borderId="1" xfId="9" applyFont="1" applyFill="1" applyBorder="1" applyAlignment="1">
      <alignment horizontal="center" wrapText="1"/>
    </xf>
    <xf numFmtId="0" fontId="130" fillId="0" borderId="1" xfId="9" applyFont="1" applyFill="1" applyBorder="1" applyAlignment="1">
      <alignment wrapText="1"/>
    </xf>
    <xf numFmtId="0" fontId="130" fillId="0" borderId="1" xfId="9" applyFont="1" applyFill="1" applyBorder="1" applyAlignment="1">
      <alignment horizontal="right" wrapText="1"/>
    </xf>
    <xf numFmtId="0" fontId="130" fillId="0" borderId="1" xfId="9" applyFont="1" applyFill="1" applyBorder="1" applyAlignment="1">
      <alignment horizontal="center" wrapText="1"/>
    </xf>
    <xf numFmtId="0" fontId="132" fillId="0" borderId="1" xfId="9" applyFont="1" applyFill="1" applyBorder="1" applyAlignment="1">
      <alignment horizontal="center" wrapText="1"/>
    </xf>
    <xf numFmtId="0" fontId="87" fillId="0" borderId="1" xfId="9" applyFont="1" applyFill="1" applyBorder="1" applyAlignment="1">
      <alignment horizontal="justify" wrapText="1"/>
    </xf>
    <xf numFmtId="9" fontId="88" fillId="0" borderId="1" xfId="9" applyNumberFormat="1" applyFont="1" applyFill="1" applyBorder="1" applyAlignment="1">
      <alignment wrapText="1"/>
    </xf>
    <xf numFmtId="0" fontId="88" fillId="0" borderId="1" xfId="9" applyFont="1" applyFill="1" applyBorder="1" applyAlignment="1">
      <alignment horizontal="right" wrapText="1"/>
    </xf>
    <xf numFmtId="0" fontId="128" fillId="0" borderId="1" xfId="9" applyFont="1" applyFill="1" applyBorder="1" applyAlignment="1">
      <alignment horizontal="center" wrapText="1"/>
    </xf>
    <xf numFmtId="2" fontId="87" fillId="0" borderId="1" xfId="9" applyNumberFormat="1" applyFont="1" applyFill="1" applyBorder="1" applyAlignment="1">
      <alignment horizontal="right" wrapText="1"/>
    </xf>
    <xf numFmtId="0" fontId="87" fillId="0" borderId="1" xfId="9" applyFont="1" applyFill="1" applyBorder="1" applyAlignment="1">
      <alignment horizontal="right" wrapText="1"/>
    </xf>
    <xf numFmtId="1" fontId="88" fillId="0" borderId="1" xfId="9" applyNumberFormat="1" applyFont="1" applyFill="1" applyBorder="1" applyAlignment="1">
      <alignment horizontal="right" wrapText="1"/>
    </xf>
    <xf numFmtId="2" fontId="130" fillId="0" borderId="1" xfId="9" applyNumberFormat="1" applyFont="1" applyFill="1" applyBorder="1" applyAlignment="1">
      <alignment horizontal="right" wrapText="1"/>
    </xf>
    <xf numFmtId="1" fontId="130" fillId="0" borderId="1" xfId="9" applyNumberFormat="1" applyFont="1" applyFill="1" applyBorder="1" applyAlignment="1">
      <alignment horizontal="right" wrapText="1"/>
    </xf>
    <xf numFmtId="0" fontId="88" fillId="0" borderId="1" xfId="9" applyFont="1" applyFill="1" applyBorder="1" applyAlignment="1">
      <alignment wrapText="1"/>
    </xf>
    <xf numFmtId="0" fontId="33" fillId="0" borderId="0" xfId="9" applyFont="1" applyFill="1" applyBorder="1" applyAlignment="1">
      <alignment horizontal="right" wrapText="1"/>
    </xf>
    <xf numFmtId="0" fontId="33" fillId="0" borderId="0" xfId="9" applyFont="1" applyBorder="1" applyAlignment="1">
      <alignment horizontal="right"/>
    </xf>
    <xf numFmtId="0" fontId="47" fillId="0" borderId="0" xfId="9" applyFont="1" applyBorder="1" applyAlignment="1">
      <alignment horizontal="right"/>
    </xf>
    <xf numFmtId="0" fontId="9" fillId="0" borderId="0" xfId="9" applyFont="1" applyBorder="1" applyAlignment="1">
      <alignment horizontal="right"/>
    </xf>
    <xf numFmtId="0" fontId="33" fillId="0" borderId="0" xfId="9" applyFont="1" applyBorder="1" applyAlignment="1">
      <alignment horizontal="center"/>
    </xf>
    <xf numFmtId="1" fontId="133" fillId="0" borderId="1" xfId="9" applyNumberFormat="1" applyFont="1" applyFill="1" applyBorder="1" applyAlignment="1">
      <alignment horizontal="center"/>
    </xf>
    <xf numFmtId="0" fontId="87" fillId="0" borderId="0" xfId="9" applyFont="1"/>
    <xf numFmtId="0" fontId="87" fillId="0" borderId="0" xfId="9" applyFont="1" applyAlignment="1">
      <alignment horizontal="center"/>
    </xf>
    <xf numFmtId="0" fontId="87" fillId="0" borderId="0" xfId="9" applyFont="1" applyAlignment="1"/>
    <xf numFmtId="0" fontId="33" fillId="0" borderId="0" xfId="9" applyFont="1" applyAlignment="1">
      <alignment horizontal="right"/>
    </xf>
    <xf numFmtId="0" fontId="33" fillId="0" borderId="0" xfId="9" applyFont="1" applyAlignment="1">
      <alignment horizontal="center"/>
    </xf>
    <xf numFmtId="0" fontId="114" fillId="0" borderId="0" xfId="9" applyFont="1" applyAlignment="1">
      <alignment horizontal="center"/>
    </xf>
    <xf numFmtId="0" fontId="33" fillId="0" borderId="0" xfId="9" applyFont="1" applyFill="1" applyAlignment="1">
      <alignment horizontal="right"/>
    </xf>
    <xf numFmtId="1" fontId="88" fillId="0" borderId="0" xfId="9" applyNumberFormat="1" applyFont="1" applyAlignment="1">
      <alignment horizontal="right"/>
    </xf>
    <xf numFmtId="1" fontId="134" fillId="0" borderId="0" xfId="9" applyNumberFormat="1" applyFont="1" applyAlignment="1">
      <alignment horizontal="right"/>
    </xf>
    <xf numFmtId="1" fontId="88" fillId="0" borderId="0" xfId="9" applyNumberFormat="1" applyFont="1" applyAlignment="1">
      <alignment horizontal="center"/>
    </xf>
    <xf numFmtId="0" fontId="87" fillId="2" borderId="1" xfId="9" applyFont="1" applyFill="1" applyBorder="1" applyAlignment="1">
      <alignment horizontal="center"/>
    </xf>
    <xf numFmtId="0" fontId="87" fillId="2" borderId="2" xfId="9" applyFont="1" applyFill="1" applyBorder="1" applyAlignment="1">
      <alignment horizontal="center"/>
    </xf>
    <xf numFmtId="0" fontId="33" fillId="0" borderId="0" xfId="9" applyFont="1" applyFill="1" applyAlignment="1">
      <alignment horizontal="center"/>
    </xf>
    <xf numFmtId="0" fontId="47" fillId="0" borderId="0" xfId="9" applyFont="1" applyAlignment="1">
      <alignment horizontal="center"/>
    </xf>
    <xf numFmtId="49" fontId="37" fillId="2" borderId="1" xfId="14" applyNumberFormat="1" applyFont="1" applyFill="1" applyBorder="1" applyAlignment="1">
      <alignment horizontal="left" wrapText="1"/>
    </xf>
    <xf numFmtId="49" fontId="37" fillId="2" borderId="1" xfId="14" applyNumberFormat="1" applyFont="1" applyFill="1" applyBorder="1" applyAlignment="1">
      <alignment horizontal="center" wrapText="1"/>
    </xf>
    <xf numFmtId="49" fontId="87" fillId="2" borderId="1" xfId="14" applyNumberFormat="1" applyFont="1" applyFill="1" applyBorder="1" applyAlignment="1">
      <alignment horizontal="center" wrapText="1"/>
    </xf>
    <xf numFmtId="0" fontId="47" fillId="2" borderId="1" xfId="9" applyFont="1" applyFill="1" applyBorder="1" applyAlignment="1">
      <alignment horizontal="center"/>
    </xf>
    <xf numFmtId="0" fontId="128" fillId="0" borderId="0" xfId="9" applyFont="1"/>
    <xf numFmtId="0" fontId="87" fillId="0" borderId="0" xfId="9" applyFont="1" applyFill="1" applyBorder="1"/>
    <xf numFmtId="0" fontId="43" fillId="0" borderId="0" xfId="9" applyFont="1" applyAlignment="1">
      <alignment horizontal="right"/>
    </xf>
    <xf numFmtId="1" fontId="87" fillId="0" borderId="0" xfId="9" applyNumberFormat="1" applyFont="1" applyAlignment="1">
      <alignment horizontal="right"/>
    </xf>
    <xf numFmtId="1" fontId="87" fillId="0" borderId="0" xfId="9" applyNumberFormat="1" applyFont="1" applyAlignment="1">
      <alignment horizontal="center"/>
    </xf>
    <xf numFmtId="0" fontId="4" fillId="0" borderId="0" xfId="9" applyFont="1"/>
    <xf numFmtId="4" fontId="43" fillId="2" borderId="1" xfId="14" applyNumberFormat="1" applyFont="1" applyFill="1" applyBorder="1" applyAlignment="1">
      <alignment horizontal="left" wrapText="1"/>
    </xf>
    <xf numFmtId="3" fontId="43" fillId="2" borderId="1" xfId="14" applyNumberFormat="1" applyFont="1" applyFill="1" applyBorder="1" applyAlignment="1">
      <alignment horizontal="center" wrapText="1"/>
    </xf>
    <xf numFmtId="0" fontId="43" fillId="2" borderId="1" xfId="9" applyFont="1" applyFill="1" applyBorder="1" applyAlignment="1">
      <alignment horizontal="center"/>
    </xf>
    <xf numFmtId="0" fontId="110" fillId="0" borderId="0" xfId="9" applyFont="1" applyAlignment="1">
      <alignment horizontal="center"/>
    </xf>
    <xf numFmtId="0" fontId="47" fillId="0" borderId="0" xfId="9" applyFont="1" applyFill="1" applyAlignment="1">
      <alignment horizontal="right"/>
    </xf>
    <xf numFmtId="0" fontId="135" fillId="0" borderId="0" xfId="9" applyFont="1"/>
    <xf numFmtId="0" fontId="88" fillId="2" borderId="1" xfId="9" applyFont="1" applyFill="1" applyBorder="1" applyAlignment="1">
      <alignment horizontal="center"/>
    </xf>
    <xf numFmtId="3" fontId="88" fillId="2" borderId="1" xfId="9" applyNumberFormat="1" applyFont="1" applyFill="1" applyBorder="1" applyAlignment="1">
      <alignment horizontal="center"/>
    </xf>
    <xf numFmtId="0" fontId="136" fillId="0" borderId="1" xfId="9" applyFont="1" applyFill="1" applyBorder="1" applyAlignment="1">
      <alignment horizontal="center"/>
    </xf>
    <xf numFmtId="0" fontId="136" fillId="0" borderId="1" xfId="9" applyFont="1" applyFill="1" applyBorder="1" applyAlignment="1"/>
    <xf numFmtId="0" fontId="137" fillId="0" borderId="1" xfId="9" applyFont="1" applyFill="1" applyBorder="1" applyAlignment="1">
      <alignment horizontal="center"/>
    </xf>
    <xf numFmtId="0" fontId="136" fillId="0" borderId="2" xfId="9" applyFont="1" applyFill="1" applyBorder="1" applyAlignment="1">
      <alignment horizontal="center" wrapText="1"/>
    </xf>
    <xf numFmtId="0" fontId="136" fillId="0" borderId="1" xfId="9" applyFont="1" applyFill="1" applyBorder="1" applyAlignment="1">
      <alignment horizontal="center" wrapText="1"/>
    </xf>
    <xf numFmtId="0" fontId="136" fillId="0" borderId="0" xfId="9" applyFont="1" applyFill="1" applyAlignment="1">
      <alignment horizontal="center"/>
    </xf>
    <xf numFmtId="3" fontId="114" fillId="0" borderId="0" xfId="9" applyNumberFormat="1" applyFont="1" applyAlignment="1">
      <alignment horizontal="center"/>
    </xf>
    <xf numFmtId="3" fontId="87" fillId="0" borderId="0" xfId="9" applyNumberFormat="1" applyFont="1" applyAlignment="1">
      <alignment horizontal="center"/>
    </xf>
    <xf numFmtId="0" fontId="129" fillId="0" borderId="0" xfId="9" applyFont="1" applyAlignment="1">
      <alignment horizontal="center"/>
    </xf>
    <xf numFmtId="0" fontId="43" fillId="0" borderId="0" xfId="9" applyFont="1" applyAlignment="1">
      <alignment horizontal="center"/>
    </xf>
    <xf numFmtId="3" fontId="43" fillId="0" borderId="0" xfId="9" applyNumberFormat="1" applyFont="1" applyAlignment="1">
      <alignment horizontal="center"/>
    </xf>
    <xf numFmtId="0" fontId="108" fillId="0" borderId="0" xfId="9" applyFont="1" applyAlignment="1">
      <alignment horizontal="center"/>
    </xf>
    <xf numFmtId="0" fontId="33" fillId="0" borderId="0" xfId="9" applyFont="1"/>
    <xf numFmtId="0" fontId="33" fillId="0" borderId="0" xfId="9" applyFont="1" applyFill="1"/>
    <xf numFmtId="1" fontId="33" fillId="0" borderId="0" xfId="9" applyNumberFormat="1" applyFont="1" applyFill="1"/>
    <xf numFmtId="1" fontId="33" fillId="0" borderId="0" xfId="9" applyNumberFormat="1" applyFont="1" applyAlignment="1">
      <alignment horizontal="center"/>
    </xf>
    <xf numFmtId="0" fontId="33" fillId="0" borderId="0" xfId="0" applyFont="1" applyAlignment="1">
      <alignment horizontal="center"/>
    </xf>
    <xf numFmtId="1" fontId="33" fillId="6" borderId="0" xfId="9" applyNumberFormat="1" applyFont="1" applyFill="1" applyBorder="1" applyAlignment="1">
      <alignment horizontal="center"/>
    </xf>
    <xf numFmtId="0" fontId="33" fillId="0" borderId="0" xfId="0" applyFont="1"/>
    <xf numFmtId="1" fontId="138" fillId="0" borderId="1" xfId="9" applyNumberFormat="1" applyFont="1" applyFill="1" applyBorder="1" applyAlignment="1">
      <alignment horizontal="center"/>
    </xf>
    <xf numFmtId="0" fontId="48" fillId="6" borderId="1" xfId="10" applyFont="1" applyFill="1" applyBorder="1" applyAlignment="1">
      <alignment horizontal="left" vertical="center" wrapText="1"/>
    </xf>
    <xf numFmtId="4" fontId="53" fillId="9" borderId="1" xfId="0" applyNumberFormat="1" applyFont="1" applyFill="1" applyBorder="1" applyAlignment="1">
      <alignment horizontal="center" vertical="center"/>
    </xf>
    <xf numFmtId="0" fontId="54" fillId="9" borderId="1" xfId="0" applyFont="1" applyFill="1" applyBorder="1" applyAlignment="1">
      <alignment horizontal="right" vertical="center" wrapText="1"/>
    </xf>
    <xf numFmtId="3" fontId="53" fillId="9" borderId="1" xfId="0" applyNumberFormat="1" applyFont="1" applyFill="1" applyBorder="1" applyAlignment="1">
      <alignment horizontal="center" vertical="center"/>
    </xf>
    <xf numFmtId="0" fontId="83" fillId="9" borderId="0" xfId="0" applyFont="1" applyFill="1" applyAlignment="1">
      <alignment horizontal="center" vertical="center"/>
    </xf>
    <xf numFmtId="0" fontId="7" fillId="0" borderId="1" xfId="6" applyFont="1" applyFill="1" applyBorder="1" applyAlignment="1">
      <alignment horizontal="left" vertical="center"/>
    </xf>
    <xf numFmtId="3" fontId="92" fillId="0" borderId="1" xfId="0" applyNumberFormat="1" applyFont="1" applyFill="1" applyBorder="1" applyAlignment="1">
      <alignment horizontal="center" vertical="center" wrapText="1"/>
    </xf>
    <xf numFmtId="3" fontId="92" fillId="0" borderId="1" xfId="0" applyNumberFormat="1" applyFont="1" applyFill="1" applyBorder="1" applyAlignment="1">
      <alignment horizontal="center" vertical="center"/>
    </xf>
    <xf numFmtId="0" fontId="92" fillId="0" borderId="1" xfId="6" applyFont="1" applyFill="1" applyBorder="1" applyAlignment="1">
      <alignment horizontal="left" vertical="center" wrapText="1"/>
    </xf>
    <xf numFmtId="0" fontId="94" fillId="0" borderId="0" xfId="0" applyFont="1" applyFill="1"/>
    <xf numFmtId="0" fontId="91" fillId="0" borderId="0" xfId="0" applyFont="1" applyFill="1"/>
    <xf numFmtId="0" fontId="95" fillId="0" borderId="1" xfId="6" applyFont="1" applyFill="1" applyBorder="1" applyAlignment="1">
      <alignment horizontal="left" vertical="center" wrapText="1"/>
    </xf>
    <xf numFmtId="3" fontId="0" fillId="0" borderId="0" xfId="0" applyNumberFormat="1"/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91" fillId="0" borderId="1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/>
    </xf>
    <xf numFmtId="0" fontId="92" fillId="0" borderId="1" xfId="0" applyFont="1" applyBorder="1" applyAlignment="1">
      <alignment horizontal="center" vertical="center" wrapText="1"/>
    </xf>
    <xf numFmtId="0" fontId="95" fillId="0" borderId="1" xfId="0" applyFont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4" fontId="92" fillId="6" borderId="1" xfId="0" applyNumberFormat="1" applyFont="1" applyFill="1" applyBorder="1" applyAlignment="1">
      <alignment horizontal="center" vertical="center"/>
    </xf>
    <xf numFmtId="4" fontId="94" fillId="6" borderId="1" xfId="0" applyNumberFormat="1" applyFont="1" applyFill="1" applyBorder="1" applyAlignment="1">
      <alignment horizontal="center" vertical="center"/>
    </xf>
    <xf numFmtId="3" fontId="94" fillId="6" borderId="1" xfId="0" applyNumberFormat="1" applyFont="1" applyFill="1" applyBorder="1" applyAlignment="1">
      <alignment horizontal="center" vertical="center"/>
    </xf>
    <xf numFmtId="3" fontId="141" fillId="3" borderId="1" xfId="0" applyNumberFormat="1" applyFont="1" applyFill="1" applyBorder="1" applyAlignment="1">
      <alignment horizontal="center" vertical="center"/>
    </xf>
    <xf numFmtId="3" fontId="93" fillId="0" borderId="1" xfId="0" applyNumberFormat="1" applyFont="1" applyBorder="1" applyAlignment="1">
      <alignment horizontal="center" vertical="center"/>
    </xf>
    <xf numFmtId="3" fontId="94" fillId="0" borderId="1" xfId="0" applyNumberFormat="1" applyFont="1" applyFill="1" applyBorder="1" applyAlignment="1">
      <alignment horizontal="center" vertical="center"/>
    </xf>
    <xf numFmtId="3" fontId="141" fillId="0" borderId="1" xfId="0" applyNumberFormat="1" applyFont="1" applyFill="1" applyBorder="1" applyAlignment="1">
      <alignment horizontal="center" vertical="center"/>
    </xf>
    <xf numFmtId="0" fontId="141" fillId="0" borderId="0" xfId="0" applyFont="1" applyAlignment="1">
      <alignment horizontal="center"/>
    </xf>
    <xf numFmtId="4" fontId="141" fillId="3" borderId="1" xfId="0" applyNumberFormat="1" applyFont="1" applyFill="1" applyBorder="1" applyAlignment="1">
      <alignment horizontal="center" vertical="center"/>
    </xf>
    <xf numFmtId="3" fontId="92" fillId="10" borderId="1" xfId="0" applyNumberFormat="1" applyFont="1" applyFill="1" applyBorder="1" applyAlignment="1">
      <alignment horizontal="center" vertical="center"/>
    </xf>
    <xf numFmtId="0" fontId="141" fillId="3" borderId="1" xfId="0" applyFont="1" applyFill="1" applyBorder="1" applyAlignment="1">
      <alignment horizontal="left" vertical="center" wrapText="1"/>
    </xf>
    <xf numFmtId="0" fontId="93" fillId="0" borderId="0" xfId="0" applyFont="1" applyAlignment="1">
      <alignment horizontal="center"/>
    </xf>
    <xf numFmtId="4" fontId="92" fillId="6" borderId="1" xfId="15" applyNumberFormat="1" applyFont="1" applyFill="1" applyBorder="1" applyAlignment="1">
      <alignment horizontal="center" vertical="center"/>
    </xf>
    <xf numFmtId="0" fontId="141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3" fontId="141" fillId="9" borderId="1" xfId="0" applyNumberFormat="1" applyFont="1" applyFill="1" applyBorder="1" applyAlignment="1">
      <alignment horizontal="center" vertical="center"/>
    </xf>
    <xf numFmtId="0" fontId="91" fillId="0" borderId="0" xfId="0" applyFont="1"/>
    <xf numFmtId="0" fontId="142" fillId="0" borderId="0" xfId="6" applyFont="1" applyAlignment="1">
      <alignment horizontal="center" vertical="center" wrapText="1"/>
    </xf>
    <xf numFmtId="0" fontId="99" fillId="0" borderId="0" xfId="0" applyFont="1" applyAlignment="1">
      <alignment horizontal="left" vertical="center" wrapText="1"/>
    </xf>
    <xf numFmtId="3" fontId="95" fillId="0" borderId="0" xfId="0" applyNumberFormat="1" applyFont="1" applyAlignment="1">
      <alignment horizontal="center" vertical="center"/>
    </xf>
    <xf numFmtId="3" fontId="141" fillId="0" borderId="0" xfId="0" applyNumberFormat="1" applyFont="1" applyAlignment="1">
      <alignment horizontal="center" vertical="center"/>
    </xf>
    <xf numFmtId="0" fontId="94" fillId="0" borderId="0" xfId="0" applyFont="1"/>
    <xf numFmtId="3" fontId="143" fillId="0" borderId="0" xfId="0" applyNumberFormat="1" applyFont="1" applyAlignment="1">
      <alignment horizontal="center"/>
    </xf>
    <xf numFmtId="3" fontId="141" fillId="0" borderId="0" xfId="0" applyNumberFormat="1" applyFont="1" applyFill="1" applyAlignment="1">
      <alignment horizontal="center" vertical="center"/>
    </xf>
    <xf numFmtId="4" fontId="91" fillId="0" borderId="0" xfId="0" applyNumberFormat="1" applyFont="1"/>
    <xf numFmtId="3" fontId="94" fillId="0" borderId="0" xfId="0" applyNumberFormat="1" applyFont="1"/>
    <xf numFmtId="3" fontId="91" fillId="0" borderId="0" xfId="0" applyNumberFormat="1" applyFont="1"/>
    <xf numFmtId="0" fontId="95" fillId="0" borderId="0" xfId="0" applyFont="1" applyFill="1"/>
    <xf numFmtId="0" fontId="92" fillId="0" borderId="0" xfId="0" applyFont="1" applyFill="1"/>
    <xf numFmtId="165" fontId="95" fillId="0" borderId="0" xfId="0" applyNumberFormat="1" applyFont="1" applyFill="1"/>
    <xf numFmtId="175" fontId="92" fillId="0" borderId="0" xfId="0" applyNumberFormat="1" applyFont="1" applyFill="1"/>
    <xf numFmtId="0" fontId="92" fillId="0" borderId="1" xfId="0" applyFont="1" applyFill="1" applyBorder="1" applyAlignment="1">
      <alignment horizontal="left" vertical="center" wrapText="1" indent="2"/>
    </xf>
    <xf numFmtId="3" fontId="93" fillId="0" borderId="1" xfId="0" applyNumberFormat="1" applyFont="1" applyFill="1" applyBorder="1" applyAlignment="1">
      <alignment horizontal="center" vertical="center"/>
    </xf>
    <xf numFmtId="0" fontId="95" fillId="0" borderId="1" xfId="0" applyFont="1" applyFill="1" applyBorder="1" applyAlignment="1">
      <alignment horizontal="left" vertical="center" wrapText="1" indent="2"/>
    </xf>
    <xf numFmtId="0" fontId="92" fillId="0" borderId="1" xfId="0" applyFont="1" applyFill="1" applyBorder="1" applyAlignment="1">
      <alignment horizontal="center" vertical="center"/>
    </xf>
    <xf numFmtId="4" fontId="92" fillId="0" borderId="1" xfId="0" applyNumberFormat="1" applyFont="1" applyFill="1" applyBorder="1" applyAlignment="1">
      <alignment horizontal="center" vertical="center"/>
    </xf>
    <xf numFmtId="3" fontId="95" fillId="0" borderId="1" xfId="0" applyNumberFormat="1" applyFont="1" applyFill="1" applyBorder="1" applyAlignment="1">
      <alignment horizontal="center" vertical="center" wrapText="1"/>
    </xf>
    <xf numFmtId="3" fontId="95" fillId="0" borderId="1" xfId="0" applyNumberFormat="1" applyFont="1" applyFill="1" applyBorder="1" applyAlignment="1">
      <alignment horizontal="center" vertical="center"/>
    </xf>
    <xf numFmtId="174" fontId="92" fillId="0" borderId="1" xfId="0" applyNumberFormat="1" applyFont="1" applyFill="1" applyBorder="1" applyAlignment="1">
      <alignment horizontal="center" vertical="center"/>
    </xf>
    <xf numFmtId="4" fontId="92" fillId="0" borderId="1" xfId="0" applyNumberFormat="1" applyFont="1" applyFill="1" applyBorder="1" applyAlignment="1">
      <alignment horizontal="center" vertical="center" wrapText="1"/>
    </xf>
    <xf numFmtId="4" fontId="95" fillId="0" borderId="1" xfId="0" applyNumberFormat="1" applyFont="1" applyFill="1" applyBorder="1" applyAlignment="1">
      <alignment horizontal="center" vertical="center"/>
    </xf>
    <xf numFmtId="3" fontId="93" fillId="0" borderId="1" xfId="0" applyNumberFormat="1" applyFont="1" applyFill="1" applyBorder="1" applyAlignment="1">
      <alignment horizontal="center" vertical="center" wrapText="1"/>
    </xf>
    <xf numFmtId="0" fontId="94" fillId="0" borderId="1" xfId="0" applyFont="1" applyFill="1" applyBorder="1"/>
    <xf numFmtId="0" fontId="91" fillId="0" borderId="1" xfId="0" applyFont="1" applyFill="1" applyBorder="1" applyAlignment="1">
      <alignment horizontal="left" vertical="center" wrapText="1"/>
    </xf>
    <xf numFmtId="4" fontId="141" fillId="0" borderId="1" xfId="0" applyNumberFormat="1" applyFont="1" applyFill="1" applyBorder="1" applyAlignment="1">
      <alignment horizontal="center" vertical="center"/>
    </xf>
    <xf numFmtId="4" fontId="94" fillId="0" borderId="0" xfId="0" applyNumberFormat="1" applyFont="1" applyFill="1" applyAlignment="1">
      <alignment horizontal="center"/>
    </xf>
    <xf numFmtId="4" fontId="94" fillId="0" borderId="0" xfId="0" applyNumberFormat="1" applyFont="1" applyFill="1"/>
    <xf numFmtId="4" fontId="95" fillId="0" borderId="1" xfId="13" applyNumberFormat="1" applyFont="1" applyFill="1" applyBorder="1" applyAlignment="1">
      <alignment horizontal="center" vertical="center" wrapText="1"/>
    </xf>
    <xf numFmtId="4" fontId="141" fillId="3" borderId="1" xfId="0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/>
    </xf>
    <xf numFmtId="4" fontId="91" fillId="0" borderId="1" xfId="0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center" vertical="center" wrapText="1"/>
    </xf>
    <xf numFmtId="4" fontId="95" fillId="0" borderId="1" xfId="0" applyNumberFormat="1" applyFont="1" applyFill="1" applyBorder="1" applyAlignment="1">
      <alignment horizontal="center" vertical="center" wrapText="1"/>
    </xf>
    <xf numFmtId="0" fontId="6" fillId="0" borderId="0" xfId="6" applyFont="1" applyBorder="1"/>
    <xf numFmtId="0" fontId="87" fillId="6" borderId="1" xfId="6" applyNumberFormat="1" applyFont="1" applyFill="1" applyBorder="1" applyAlignment="1">
      <alignment horizontal="center" vertical="center"/>
    </xf>
    <xf numFmtId="4" fontId="111" fillId="0" borderId="1" xfId="0" applyNumberFormat="1" applyFont="1" applyBorder="1"/>
    <xf numFmtId="0" fontId="3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9" fillId="0" borderId="0" xfId="6" applyFont="1" applyAlignment="1">
      <alignment vertical="center"/>
    </xf>
    <xf numFmtId="0" fontId="3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88" fillId="0" borderId="1" xfId="0" applyFont="1" applyFill="1" applyBorder="1" applyAlignment="1">
      <alignment horizontal="center"/>
    </xf>
    <xf numFmtId="0" fontId="151" fillId="0" borderId="0" xfId="0" applyFont="1"/>
    <xf numFmtId="0" fontId="101" fillId="0" borderId="0" xfId="0" applyFont="1" applyBorder="1"/>
    <xf numFmtId="0" fontId="88" fillId="0" borderId="0" xfId="0" applyFont="1" applyBorder="1" applyAlignment="1">
      <alignment horizontal="center" vertical="center" wrapText="1"/>
    </xf>
    <xf numFmtId="4" fontId="102" fillId="8" borderId="0" xfId="0" quotePrefix="1" applyNumberFormat="1" applyFont="1" applyFill="1" applyBorder="1" applyAlignment="1">
      <alignment horizontal="center"/>
    </xf>
    <xf numFmtId="4" fontId="102" fillId="8" borderId="0" xfId="0" applyNumberFormat="1" applyFont="1" applyFill="1" applyBorder="1"/>
    <xf numFmtId="4" fontId="102" fillId="2" borderId="0" xfId="0" applyNumberFormat="1" applyFont="1" applyFill="1" applyBorder="1"/>
    <xf numFmtId="4" fontId="102" fillId="8" borderId="0" xfId="0" applyNumberFormat="1" applyFont="1" applyFill="1" applyBorder="1" applyProtection="1"/>
    <xf numFmtId="3" fontId="92" fillId="0" borderId="1" xfId="6" applyNumberFormat="1" applyFont="1" applyFill="1" applyBorder="1" applyAlignment="1">
      <alignment horizontal="center" vertical="center"/>
    </xf>
    <xf numFmtId="14" fontId="69" fillId="0" borderId="0" xfId="13" applyNumberFormat="1" applyFont="1" applyFill="1" applyAlignment="1">
      <alignment horizontal="center"/>
    </xf>
    <xf numFmtId="0" fontId="71" fillId="0" borderId="0" xfId="13" applyFont="1" applyFill="1" applyAlignment="1">
      <alignment horizontal="center"/>
    </xf>
    <xf numFmtId="0" fontId="51" fillId="0" borderId="0" xfId="13" applyFont="1" applyFill="1" applyAlignment="1">
      <alignment horizontal="center"/>
    </xf>
    <xf numFmtId="0" fontId="112" fillId="0" borderId="0" xfId="13" applyFont="1" applyFill="1" applyBorder="1" applyAlignment="1">
      <alignment horizontal="center"/>
    </xf>
    <xf numFmtId="0" fontId="68" fillId="2" borderId="0" xfId="13" applyFont="1" applyFill="1" applyAlignment="1">
      <alignment horizontal="center"/>
    </xf>
    <xf numFmtId="0" fontId="83" fillId="0" borderId="0" xfId="0" applyFont="1" applyAlignment="1">
      <alignment horizontal="center"/>
    </xf>
    <xf numFmtId="0" fontId="152" fillId="0" borderId="0" xfId="10" applyFont="1" applyFill="1" applyAlignment="1">
      <alignment horizontal="center" wrapText="1"/>
    </xf>
    <xf numFmtId="0" fontId="54" fillId="0" borderId="1" xfId="0" applyFont="1" applyBorder="1" applyAlignment="1">
      <alignment horizontal="center" vertical="center" wrapText="1"/>
    </xf>
    <xf numFmtId="3" fontId="54" fillId="0" borderId="1" xfId="10" applyNumberFormat="1" applyFont="1" applyFill="1" applyBorder="1" applyAlignment="1">
      <alignment horizontal="center" vertical="center"/>
    </xf>
    <xf numFmtId="0" fontId="54" fillId="9" borderId="1" xfId="0" applyFont="1" applyFill="1" applyBorder="1" applyAlignment="1">
      <alignment horizontal="center" vertical="center" wrapText="1"/>
    </xf>
    <xf numFmtId="0" fontId="54" fillId="6" borderId="1" xfId="0" applyFont="1" applyFill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/>
    </xf>
    <xf numFmtId="3" fontId="83" fillId="0" borderId="0" xfId="0" applyNumberFormat="1" applyFont="1" applyAlignment="1">
      <alignment horizontal="center"/>
    </xf>
    <xf numFmtId="0" fontId="28" fillId="11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/>
    <xf numFmtId="0" fontId="33" fillId="0" borderId="1" xfId="0" applyFont="1" applyBorder="1" applyAlignment="1">
      <alignment vertical="center" wrapText="1"/>
    </xf>
    <xf numFmtId="167" fontId="9" fillId="0" borderId="1" xfId="0" applyNumberFormat="1" applyFont="1" applyBorder="1"/>
    <xf numFmtId="167" fontId="33" fillId="0" borderId="1" xfId="0" applyNumberFormat="1" applyFont="1" applyBorder="1" applyAlignment="1">
      <alignment horizontal="right"/>
    </xf>
    <xf numFmtId="165" fontId="59" fillId="0" borderId="1" xfId="3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 applyAlignment="1">
      <alignment vertical="center" wrapText="1"/>
    </xf>
    <xf numFmtId="164" fontId="19" fillId="6" borderId="1" xfId="0" applyNumberFormat="1" applyFont="1" applyFill="1" applyBorder="1" applyAlignment="1">
      <alignment horizontal="center" vertical="center" wrapText="1"/>
    </xf>
    <xf numFmtId="168" fontId="19" fillId="6" borderId="1" xfId="0" applyNumberFormat="1" applyFont="1" applyFill="1" applyBorder="1" applyAlignment="1">
      <alignment horizontal="center" vertical="center" wrapText="1"/>
    </xf>
    <xf numFmtId="165" fontId="56" fillId="0" borderId="1" xfId="0" applyNumberFormat="1" applyFont="1" applyBorder="1" applyAlignment="1">
      <alignment horizontal="center" vertical="center" wrapText="1"/>
    </xf>
    <xf numFmtId="0" fontId="19" fillId="6" borderId="1" xfId="0" applyFont="1" applyFill="1" applyBorder="1"/>
    <xf numFmtId="167" fontId="29" fillId="0" borderId="1" xfId="0" applyNumberFormat="1" applyFont="1" applyFill="1" applyBorder="1" applyAlignment="1">
      <alignment horizontal="right"/>
    </xf>
    <xf numFmtId="165" fontId="59" fillId="0" borderId="1" xfId="0" applyNumberFormat="1" applyFont="1" applyBorder="1" applyAlignment="1">
      <alignment horizontal="center" vertical="center"/>
    </xf>
    <xf numFmtId="0" fontId="19" fillId="0" borderId="1" xfId="0" applyFont="1" applyBorder="1"/>
    <xf numFmtId="0" fontId="34" fillId="0" borderId="1" xfId="0" applyFont="1" applyFill="1" applyBorder="1" applyAlignment="1">
      <alignment horizontal="left" vertical="center" wrapText="1" indent="2"/>
    </xf>
    <xf numFmtId="164" fontId="19" fillId="0" borderId="1" xfId="0" applyNumberFormat="1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165" fontId="56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33" fillId="0" borderId="1" xfId="0" applyNumberFormat="1" applyFont="1" applyBorder="1"/>
    <xf numFmtId="164" fontId="19" fillId="0" borderId="1" xfId="0" applyNumberFormat="1" applyFont="1" applyBorder="1" applyAlignment="1">
      <alignment horizontal="center" vertical="center" wrapText="1"/>
    </xf>
    <xf numFmtId="167" fontId="29" fillId="0" borderId="1" xfId="0" applyNumberFormat="1" applyFont="1" applyBorder="1"/>
    <xf numFmtId="0" fontId="9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49" fillId="0" borderId="0" xfId="14" applyFont="1" applyFill="1" applyAlignment="1">
      <alignment horizontal="center"/>
    </xf>
    <xf numFmtId="0" fontId="49" fillId="0" borderId="0" xfId="14" applyFont="1" applyFill="1"/>
    <xf numFmtId="0" fontId="74" fillId="0" borderId="0" xfId="14" applyFont="1" applyFill="1"/>
    <xf numFmtId="0" fontId="54" fillId="0" borderId="0" xfId="14" applyFont="1" applyFill="1" applyAlignment="1">
      <alignment horizontal="center"/>
    </xf>
    <xf numFmtId="0" fontId="54" fillId="0" borderId="0" xfId="14" applyFont="1" applyFill="1" applyAlignment="1">
      <alignment horizontal="right" wrapText="1"/>
    </xf>
    <xf numFmtId="0" fontId="74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153" fillId="0" borderId="0" xfId="0" applyFont="1" applyFill="1" applyAlignment="1">
      <alignment wrapText="1"/>
    </xf>
    <xf numFmtId="0" fontId="54" fillId="0" borderId="0" xfId="0" applyFont="1" applyFill="1" applyAlignment="1">
      <alignment horizontal="left" wrapText="1"/>
    </xf>
    <xf numFmtId="3" fontId="154" fillId="0" borderId="0" xfId="14" applyNumberFormat="1" applyFont="1" applyFill="1" applyAlignment="1">
      <alignment horizontal="right"/>
    </xf>
    <xf numFmtId="2" fontId="74" fillId="0" borderId="0" xfId="14" applyNumberFormat="1" applyFont="1" applyFill="1"/>
    <xf numFmtId="0" fontId="74" fillId="0" borderId="0" xfId="0" applyFont="1" applyFill="1" applyAlignment="1">
      <alignment horizontal="center" wrapText="1"/>
    </xf>
    <xf numFmtId="3" fontId="155" fillId="0" borderId="0" xfId="14" applyNumberFormat="1" applyFont="1" applyFill="1" applyAlignment="1">
      <alignment horizontal="right"/>
    </xf>
    <xf numFmtId="3" fontId="74" fillId="0" borderId="0" xfId="14" applyNumberFormat="1" applyFont="1" applyFill="1"/>
    <xf numFmtId="0" fontId="74" fillId="0" borderId="0" xfId="14" applyFont="1" applyFill="1" applyAlignment="1">
      <alignment horizontal="right"/>
    </xf>
    <xf numFmtId="177" fontId="54" fillId="0" borderId="0" xfId="0" applyNumberFormat="1" applyFont="1" applyFill="1" applyAlignment="1"/>
    <xf numFmtId="1" fontId="49" fillId="0" borderId="0" xfId="14" applyNumberFormat="1" applyFont="1" applyFill="1"/>
    <xf numFmtId="1" fontId="52" fillId="0" borderId="0" xfId="14" applyNumberFormat="1" applyFont="1" applyFill="1"/>
    <xf numFmtId="0" fontId="49" fillId="0" borderId="0" xfId="14" applyFont="1" applyFill="1" applyAlignment="1">
      <alignment wrapText="1"/>
    </xf>
    <xf numFmtId="0" fontId="49" fillId="0" borderId="0" xfId="14" applyFont="1" applyFill="1" applyAlignment="1">
      <alignment horizontal="right" wrapText="1"/>
    </xf>
    <xf numFmtId="0" fontId="49" fillId="0" borderId="0" xfId="14" applyFont="1" applyFill="1" applyAlignment="1">
      <alignment horizontal="center" wrapText="1"/>
    </xf>
    <xf numFmtId="0" fontId="52" fillId="0" borderId="0" xfId="14" applyFont="1" applyFill="1"/>
    <xf numFmtId="0" fontId="52" fillId="0" borderId="0" xfId="14" applyFont="1" applyFill="1" applyAlignment="1">
      <alignment wrapText="1"/>
    </xf>
    <xf numFmtId="0" fontId="92" fillId="0" borderId="1" xfId="13" applyFont="1" applyFill="1" applyBorder="1" applyAlignment="1">
      <alignment horizontal="center" vertical="center" wrapText="1"/>
    </xf>
    <xf numFmtId="0" fontId="49" fillId="0" borderId="1" xfId="14" applyFont="1" applyFill="1" applyBorder="1"/>
    <xf numFmtId="49" fontId="48" fillId="0" borderId="1" xfId="14" applyNumberFormat="1" applyFont="1" applyFill="1" applyBorder="1" applyAlignment="1">
      <alignment horizontal="center" vertical="center" wrapText="1"/>
    </xf>
    <xf numFmtId="49" fontId="51" fillId="0" borderId="1" xfId="14" applyNumberFormat="1" applyFont="1" applyFill="1" applyBorder="1" applyAlignment="1">
      <alignment horizontal="center" vertical="center" wrapText="1"/>
    </xf>
    <xf numFmtId="0" fontId="49" fillId="0" borderId="1" xfId="14" applyFont="1" applyFill="1" applyBorder="1" applyAlignment="1"/>
    <xf numFmtId="0" fontId="48" fillId="0" borderId="1" xfId="14" applyFont="1" applyFill="1" applyBorder="1" applyAlignment="1">
      <alignment horizontal="center" vertical="center" wrapText="1"/>
    </xf>
    <xf numFmtId="1" fontId="48" fillId="0" borderId="1" xfId="14" applyNumberFormat="1" applyFont="1" applyFill="1" applyBorder="1" applyAlignment="1">
      <alignment horizontal="center" vertical="center" wrapText="1"/>
    </xf>
    <xf numFmtId="1" fontId="51" fillId="0" borderId="1" xfId="14" applyNumberFormat="1" applyFont="1" applyFill="1" applyBorder="1" applyAlignment="1">
      <alignment horizontal="center" vertical="center" wrapText="1"/>
    </xf>
    <xf numFmtId="3" fontId="49" fillId="0" borderId="1" xfId="14" applyNumberFormat="1" applyFont="1" applyFill="1" applyBorder="1" applyAlignment="1">
      <alignment horizontal="left"/>
    </xf>
    <xf numFmtId="4" fontId="49" fillId="0" borderId="1" xfId="14" applyNumberFormat="1" applyFont="1" applyFill="1" applyBorder="1" applyAlignment="1">
      <alignment horizontal="center" vertical="center" wrapText="1"/>
    </xf>
    <xf numFmtId="0" fontId="49" fillId="0" borderId="1" xfId="14" applyFont="1" applyFill="1" applyBorder="1" applyAlignment="1">
      <alignment horizontal="center"/>
    </xf>
    <xf numFmtId="4" fontId="48" fillId="0" borderId="1" xfId="14" applyNumberFormat="1" applyFont="1" applyFill="1" applyBorder="1" applyAlignment="1">
      <alignment horizontal="center" vertical="center" wrapText="1"/>
    </xf>
    <xf numFmtId="4" fontId="49" fillId="0" borderId="1" xfId="14" applyNumberFormat="1" applyFont="1" applyFill="1" applyBorder="1" applyAlignment="1">
      <alignment horizontal="center"/>
    </xf>
    <xf numFmtId="4" fontId="49" fillId="0" borderId="1" xfId="14" applyNumberFormat="1" applyFont="1" applyFill="1" applyBorder="1" applyAlignment="1">
      <alignment horizontal="left"/>
    </xf>
    <xf numFmtId="3" fontId="49" fillId="0" borderId="1" xfId="13" applyNumberFormat="1" applyFont="1" applyFill="1" applyBorder="1" applyAlignment="1" applyProtection="1">
      <alignment horizontal="center" vertical="center"/>
      <protection locked="0"/>
    </xf>
    <xf numFmtId="3" fontId="49" fillId="0" borderId="1" xfId="14" applyNumberFormat="1" applyFont="1" applyFill="1" applyBorder="1" applyAlignment="1">
      <alignment horizontal="center" vertical="center" wrapText="1"/>
    </xf>
    <xf numFmtId="3" fontId="49" fillId="0" borderId="1" xfId="14" applyNumberFormat="1" applyFont="1" applyFill="1" applyBorder="1" applyAlignment="1">
      <alignment horizontal="center" vertical="center"/>
    </xf>
    <xf numFmtId="4" fontId="49" fillId="0" borderId="1" xfId="14" applyNumberFormat="1" applyFont="1" applyFill="1" applyBorder="1" applyAlignment="1">
      <alignment horizontal="left" vertical="center" wrapText="1"/>
    </xf>
    <xf numFmtId="0" fontId="49" fillId="0" borderId="1" xfId="13" applyFont="1" applyFill="1" applyBorder="1" applyAlignment="1">
      <alignment horizontal="left" vertical="center" wrapText="1"/>
    </xf>
    <xf numFmtId="3" fontId="52" fillId="0" borderId="1" xfId="14" applyNumberFormat="1" applyFont="1" applyFill="1" applyBorder="1" applyAlignment="1">
      <alignment horizontal="center" vertical="center" wrapText="1"/>
    </xf>
    <xf numFmtId="3" fontId="52" fillId="0" borderId="1" xfId="14" applyNumberFormat="1" applyFont="1" applyFill="1" applyBorder="1" applyAlignment="1">
      <alignment horizontal="center" vertical="center"/>
    </xf>
    <xf numFmtId="4" fontId="48" fillId="0" borderId="1" xfId="14" applyNumberFormat="1" applyFont="1" applyFill="1" applyBorder="1" applyAlignment="1">
      <alignment horizontal="left" vertical="center" wrapText="1"/>
    </xf>
    <xf numFmtId="3" fontId="48" fillId="0" borderId="1" xfId="14" applyNumberFormat="1" applyFont="1" applyFill="1" applyBorder="1" applyAlignment="1">
      <alignment horizontal="center" vertical="center" wrapText="1"/>
    </xf>
    <xf numFmtId="3" fontId="51" fillId="0" borderId="1" xfId="14" applyNumberFormat="1" applyFont="1" applyFill="1" applyBorder="1" applyAlignment="1">
      <alignment horizontal="center" vertical="center" wrapText="1"/>
    </xf>
    <xf numFmtId="2" fontId="49" fillId="0" borderId="1" xfId="14" applyNumberFormat="1" applyFont="1" applyFill="1" applyBorder="1" applyAlignment="1"/>
    <xf numFmtId="4" fontId="51" fillId="0" borderId="1" xfId="14" applyNumberFormat="1" applyFont="1" applyFill="1" applyBorder="1" applyAlignment="1">
      <alignment horizontal="center" vertical="center" wrapText="1"/>
    </xf>
    <xf numFmtId="3" fontId="49" fillId="0" borderId="1" xfId="14" applyNumberFormat="1" applyFont="1" applyFill="1" applyBorder="1" applyAlignment="1"/>
    <xf numFmtId="0" fontId="48" fillId="0" borderId="1" xfId="14" applyFont="1" applyFill="1" applyBorder="1" applyAlignment="1"/>
    <xf numFmtId="0" fontId="49" fillId="0" borderId="1" xfId="13" applyNumberFormat="1" applyFont="1" applyFill="1" applyBorder="1" applyAlignment="1">
      <alignment horizontal="left" vertical="center" wrapText="1"/>
    </xf>
    <xf numFmtId="3" fontId="49" fillId="0" borderId="1" xfId="14" applyNumberFormat="1" applyFont="1" applyFill="1" applyBorder="1" applyAlignment="1" applyProtection="1">
      <alignment horizontal="center" vertical="center" wrapText="1"/>
      <protection locked="0" hidden="1"/>
    </xf>
    <xf numFmtId="4" fontId="49" fillId="0" borderId="1" xfId="14" applyNumberFormat="1" applyFont="1" applyFill="1" applyBorder="1" applyAlignment="1"/>
    <xf numFmtId="2" fontId="49" fillId="0" borderId="1" xfId="14" applyNumberFormat="1" applyFont="1" applyFill="1" applyBorder="1"/>
    <xf numFmtId="4" fontId="49" fillId="0" borderId="1" xfId="14" applyNumberFormat="1" applyFont="1" applyFill="1" applyBorder="1"/>
    <xf numFmtId="0" fontId="49" fillId="0" borderId="1" xfId="13" applyFont="1" applyFill="1" applyBorder="1" applyAlignment="1">
      <alignment vertical="center" wrapText="1"/>
    </xf>
    <xf numFmtId="3" fontId="48" fillId="0" borderId="1" xfId="14" applyNumberFormat="1" applyFont="1" applyFill="1" applyBorder="1" applyAlignment="1">
      <alignment horizontal="center" vertical="center"/>
    </xf>
    <xf numFmtId="3" fontId="51" fillId="0" borderId="1" xfId="14" applyNumberFormat="1" applyFont="1" applyFill="1" applyBorder="1" applyAlignment="1">
      <alignment horizontal="center" vertical="center"/>
    </xf>
    <xf numFmtId="4" fontId="49" fillId="0" borderId="1" xfId="14" applyNumberFormat="1" applyFont="1" applyFill="1" applyBorder="1" applyAlignment="1">
      <alignment vertical="center" wrapText="1"/>
    </xf>
    <xf numFmtId="4" fontId="49" fillId="0" borderId="1" xfId="14" applyNumberFormat="1" applyFont="1" applyFill="1" applyBorder="1" applyAlignment="1">
      <alignment horizontal="center" vertical="center"/>
    </xf>
    <xf numFmtId="4" fontId="48" fillId="0" borderId="1" xfId="14" applyNumberFormat="1" applyFont="1" applyFill="1" applyBorder="1" applyAlignment="1">
      <alignment horizontal="center" vertical="center"/>
    </xf>
    <xf numFmtId="3" fontId="49" fillId="0" borderId="1" xfId="14" applyNumberFormat="1" applyFont="1" applyFill="1" applyBorder="1" applyAlignment="1">
      <alignment horizontal="center"/>
    </xf>
    <xf numFmtId="3" fontId="49" fillId="0" borderId="1" xfId="14" applyNumberFormat="1" applyFont="1" applyFill="1" applyBorder="1"/>
    <xf numFmtId="4" fontId="48" fillId="0" borderId="1" xfId="14" applyNumberFormat="1" applyFont="1" applyFill="1" applyBorder="1" applyAlignment="1">
      <alignment horizontal="center"/>
    </xf>
    <xf numFmtId="1" fontId="49" fillId="0" borderId="1" xfId="14" applyNumberFormat="1" applyFont="1" applyFill="1" applyBorder="1" applyAlignment="1">
      <alignment horizontal="center" vertical="center" wrapText="1"/>
    </xf>
    <xf numFmtId="2" fontId="48" fillId="0" borderId="1" xfId="14" applyNumberFormat="1" applyFont="1" applyFill="1" applyBorder="1" applyAlignment="1">
      <alignment horizontal="left" vertical="center" wrapText="1"/>
    </xf>
    <xf numFmtId="1" fontId="49" fillId="0" borderId="1" xfId="14" applyNumberFormat="1" applyFont="1" applyFill="1" applyBorder="1"/>
    <xf numFmtId="2" fontId="48" fillId="0" borderId="0" xfId="14" applyNumberFormat="1" applyFont="1" applyFill="1" applyBorder="1" applyAlignment="1">
      <alignment horizontal="left" vertical="center" wrapText="1"/>
    </xf>
    <xf numFmtId="4" fontId="48" fillId="0" borderId="0" xfId="14" applyNumberFormat="1" applyFont="1" applyFill="1" applyBorder="1" applyAlignment="1">
      <alignment horizontal="left" vertical="center" wrapText="1"/>
    </xf>
    <xf numFmtId="4" fontId="48" fillId="0" borderId="0" xfId="14" applyNumberFormat="1" applyFont="1" applyFill="1" applyBorder="1" applyAlignment="1">
      <alignment horizontal="center" vertical="center" wrapText="1"/>
    </xf>
    <xf numFmtId="4" fontId="48" fillId="0" borderId="0" xfId="14" applyNumberFormat="1" applyFont="1" applyFill="1" applyBorder="1" applyAlignment="1">
      <alignment horizontal="center"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51" fillId="0" borderId="0" xfId="14" applyNumberFormat="1" applyFont="1" applyFill="1" applyBorder="1" applyAlignment="1">
      <alignment horizontal="center" vertical="center" wrapText="1"/>
    </xf>
    <xf numFmtId="3" fontId="49" fillId="0" borderId="0" xfId="14" applyNumberFormat="1" applyFont="1" applyFill="1" applyBorder="1"/>
    <xf numFmtId="1" fontId="49" fillId="0" borderId="0" xfId="14" applyNumberFormat="1" applyFont="1" applyFill="1" applyBorder="1"/>
    <xf numFmtId="0" fontId="49" fillId="0" borderId="0" xfId="14" applyFont="1" applyFill="1" applyBorder="1" applyAlignment="1">
      <alignment horizontal="center"/>
    </xf>
    <xf numFmtId="0" fontId="49" fillId="0" borderId="0" xfId="14" applyFont="1" applyFill="1" applyBorder="1"/>
    <xf numFmtId="4" fontId="49" fillId="0" borderId="0" xfId="14" applyNumberFormat="1" applyFont="1" applyFill="1" applyBorder="1" applyAlignment="1">
      <alignment horizontal="center"/>
    </xf>
    <xf numFmtId="0" fontId="48" fillId="0" borderId="0" xfId="14" applyFont="1" applyFill="1"/>
    <xf numFmtId="4" fontId="52" fillId="0" borderId="0" xfId="14" applyNumberFormat="1" applyFont="1" applyFill="1" applyBorder="1"/>
    <xf numFmtId="1" fontId="52" fillId="0" borderId="0" xfId="14" applyNumberFormat="1" applyFont="1" applyFill="1" applyBorder="1"/>
    <xf numFmtId="0" fontId="52" fillId="0" borderId="0" xfId="14" applyFont="1" applyFill="1" applyBorder="1"/>
    <xf numFmtId="0" fontId="48" fillId="0" borderId="0" xfId="14" applyFont="1" applyFill="1" applyBorder="1"/>
    <xf numFmtId="0" fontId="48" fillId="0" borderId="0" xfId="14" applyFont="1" applyFill="1" applyBorder="1" applyAlignment="1">
      <alignment horizontal="center"/>
    </xf>
    <xf numFmtId="1" fontId="48" fillId="0" borderId="0" xfId="14" applyNumberFormat="1" applyFont="1" applyFill="1" applyBorder="1"/>
    <xf numFmtId="4" fontId="51" fillId="0" borderId="0" xfId="14" applyNumberFormat="1" applyFont="1" applyFill="1" applyBorder="1"/>
    <xf numFmtId="1" fontId="51" fillId="0" borderId="0" xfId="14" applyNumberFormat="1" applyFont="1" applyFill="1" applyBorder="1"/>
    <xf numFmtId="3" fontId="52" fillId="0" borderId="0" xfId="14" applyNumberFormat="1" applyFont="1" applyFill="1" applyBorder="1"/>
    <xf numFmtId="4" fontId="156" fillId="0" borderId="1" xfId="14" applyNumberFormat="1" applyFont="1" applyFill="1" applyBorder="1" applyAlignment="1">
      <alignment horizontal="center" vertical="center" wrapText="1"/>
    </xf>
    <xf numFmtId="3" fontId="48" fillId="0" borderId="1" xfId="14" applyNumberFormat="1" applyFont="1" applyFill="1" applyBorder="1" applyAlignment="1">
      <alignment horizontal="center"/>
    </xf>
    <xf numFmtId="0" fontId="65" fillId="0" borderId="0" xfId="14"/>
    <xf numFmtId="0" fontId="65" fillId="0" borderId="0" xfId="14" applyAlignment="1">
      <alignment horizontal="center"/>
    </xf>
    <xf numFmtId="0" fontId="65" fillId="0" borderId="0" xfId="14" applyFill="1" applyAlignment="1">
      <alignment horizontal="left"/>
    </xf>
    <xf numFmtId="0" fontId="65" fillId="0" borderId="0" xfId="14" applyFill="1"/>
    <xf numFmtId="0" fontId="7" fillId="0" borderId="0" xfId="14" applyFont="1" applyFill="1"/>
    <xf numFmtId="0" fontId="89" fillId="0" borderId="0" xfId="14" applyFont="1" applyFill="1" applyAlignment="1">
      <alignment horizontal="center"/>
    </xf>
    <xf numFmtId="0" fontId="9" fillId="0" borderId="0" xfId="14" applyFont="1" applyFill="1"/>
    <xf numFmtId="0" fontId="6" fillId="0" borderId="0" xfId="14" applyFont="1" applyFill="1"/>
    <xf numFmtId="0" fontId="89" fillId="0" borderId="0" xfId="14" applyFont="1" applyFill="1"/>
    <xf numFmtId="0" fontId="54" fillId="0" borderId="0" xfId="14" applyFont="1" applyFill="1"/>
    <xf numFmtId="0" fontId="49" fillId="0" borderId="0" xfId="6" applyFont="1" applyFill="1" applyAlignment="1">
      <alignment wrapText="1"/>
    </xf>
    <xf numFmtId="0" fontId="49" fillId="0" borderId="0" xfId="6" applyFont="1" applyAlignment="1">
      <alignment wrapText="1"/>
    </xf>
    <xf numFmtId="0" fontId="157" fillId="0" borderId="0" xfId="6" applyFont="1" applyBorder="1" applyAlignment="1">
      <alignment wrapText="1"/>
    </xf>
    <xf numFmtId="0" fontId="49" fillId="0" borderId="0" xfId="14" applyFont="1" applyFill="1" applyBorder="1" applyAlignment="1">
      <alignment horizontal="right" wrapText="1"/>
    </xf>
    <xf numFmtId="49" fontId="6" fillId="0" borderId="0" xfId="14" applyNumberFormat="1" applyFont="1" applyFill="1" applyAlignment="1">
      <alignment horizontal="center" vertical="center" wrapText="1"/>
    </xf>
    <xf numFmtId="0" fontId="6" fillId="0" borderId="1" xfId="14" applyFont="1" applyFill="1" applyBorder="1" applyAlignment="1">
      <alignment horizontal="center"/>
    </xf>
    <xf numFmtId="4" fontId="6" fillId="0" borderId="0" xfId="14" applyNumberFormat="1" applyFont="1" applyFill="1"/>
    <xf numFmtId="4" fontId="7" fillId="0" borderId="0" xfId="14" applyNumberFormat="1" applyFont="1" applyFill="1"/>
    <xf numFmtId="4" fontId="6" fillId="0" borderId="1" xfId="14" applyNumberFormat="1" applyFont="1" applyFill="1" applyBorder="1" applyAlignment="1">
      <alignment horizontal="left" wrapText="1"/>
    </xf>
    <xf numFmtId="4" fontId="6" fillId="0" borderId="1" xfId="14" applyNumberFormat="1" applyFont="1" applyFill="1" applyBorder="1" applyAlignment="1">
      <alignment horizontal="center"/>
    </xf>
    <xf numFmtId="3" fontId="7" fillId="0" borderId="1" xfId="14" applyNumberFormat="1" applyFont="1" applyFill="1" applyBorder="1" applyAlignment="1">
      <alignment horizontal="center"/>
    </xf>
    <xf numFmtId="4" fontId="7" fillId="0" borderId="1" xfId="14" applyNumberFormat="1" applyFont="1" applyFill="1" applyBorder="1" applyAlignment="1">
      <alignment horizontal="center" wrapText="1"/>
    </xf>
    <xf numFmtId="0" fontId="7" fillId="0" borderId="1" xfId="14" applyFont="1" applyFill="1" applyBorder="1" applyAlignment="1">
      <alignment horizontal="center"/>
    </xf>
    <xf numFmtId="4" fontId="7" fillId="0" borderId="1" xfId="14" applyNumberFormat="1" applyFont="1" applyFill="1" applyBorder="1" applyAlignment="1">
      <alignment horizontal="left" wrapText="1"/>
    </xf>
    <xf numFmtId="4" fontId="7" fillId="0" borderId="1" xfId="14" applyNumberFormat="1" applyFont="1" applyFill="1" applyBorder="1" applyAlignment="1">
      <alignment horizontal="center"/>
    </xf>
    <xf numFmtId="0" fontId="148" fillId="0" borderId="0" xfId="14" applyFont="1" applyFill="1" applyBorder="1"/>
    <xf numFmtId="0" fontId="148" fillId="0" borderId="0" xfId="14" applyFont="1" applyFill="1" applyAlignment="1">
      <alignment horizontal="center"/>
    </xf>
    <xf numFmtId="0" fontId="148" fillId="0" borderId="0" xfId="14" applyFont="1" applyFill="1"/>
    <xf numFmtId="4" fontId="49" fillId="0" borderId="0" xfId="14" applyNumberFormat="1" applyFont="1" applyFill="1"/>
    <xf numFmtId="0" fontId="87" fillId="0" borderId="0" xfId="14" applyFont="1" applyFill="1" applyBorder="1"/>
    <xf numFmtId="0" fontId="87" fillId="0" borderId="0" xfId="14" applyFont="1" applyFill="1" applyAlignment="1">
      <alignment horizontal="center"/>
    </xf>
    <xf numFmtId="0" fontId="87" fillId="0" borderId="0" xfId="14" applyFont="1" applyFill="1"/>
    <xf numFmtId="4" fontId="65" fillId="0" borderId="0" xfId="14" applyNumberFormat="1" applyFill="1"/>
    <xf numFmtId="0" fontId="49" fillId="0" borderId="0" xfId="6" applyFont="1" applyAlignment="1">
      <alignment horizontal="left" wrapText="1"/>
    </xf>
    <xf numFmtId="0" fontId="161" fillId="0" borderId="0" xfId="14" applyFont="1"/>
    <xf numFmtId="49" fontId="7" fillId="0" borderId="0" xfId="14" applyNumberFormat="1" applyFont="1" applyFill="1" applyAlignment="1">
      <alignment horizontal="center" vertical="center" wrapText="1"/>
    </xf>
    <xf numFmtId="0" fontId="89" fillId="0" borderId="0" xfId="14" applyFont="1" applyFill="1" applyBorder="1"/>
    <xf numFmtId="0" fontId="88" fillId="0" borderId="0" xfId="14" applyFont="1" applyFill="1" applyBorder="1"/>
    <xf numFmtId="4" fontId="6" fillId="0" borderId="1" xfId="14" applyNumberFormat="1" applyFont="1" applyFill="1" applyBorder="1" applyAlignment="1">
      <alignment horizontal="center" wrapText="1"/>
    </xf>
    <xf numFmtId="3" fontId="7" fillId="0" borderId="1" xfId="14" applyNumberFormat="1" applyFont="1" applyFill="1" applyBorder="1" applyAlignment="1">
      <alignment horizontal="center" wrapText="1"/>
    </xf>
    <xf numFmtId="0" fontId="9" fillId="0" borderId="1" xfId="14" applyFont="1" applyFill="1" applyBorder="1" applyAlignment="1">
      <alignment horizontal="center"/>
    </xf>
    <xf numFmtId="0" fontId="65" fillId="0" borderId="0" xfId="14" applyFill="1" applyAlignment="1">
      <alignment horizontal="center"/>
    </xf>
    <xf numFmtId="0" fontId="48" fillId="0" borderId="0" xfId="14" applyFont="1" applyFill="1" applyAlignment="1">
      <alignment horizontal="center" wrapText="1"/>
    </xf>
    <xf numFmtId="0" fontId="6" fillId="0" borderId="0" xfId="14" applyFont="1" applyFill="1" applyAlignment="1">
      <alignment horizontal="center"/>
    </xf>
    <xf numFmtId="0" fontId="158" fillId="0" borderId="0" xfId="6" applyFont="1" applyFill="1" applyAlignment="1">
      <alignment horizontal="center" wrapText="1"/>
    </xf>
    <xf numFmtId="0" fontId="157" fillId="0" borderId="0" xfId="6" applyFont="1" applyFill="1" applyAlignment="1">
      <alignment horizontal="center" wrapText="1"/>
    </xf>
    <xf numFmtId="0" fontId="159" fillId="0" borderId="0" xfId="6" applyFont="1" applyAlignment="1">
      <alignment horizontal="center" wrapText="1"/>
    </xf>
    <xf numFmtId="0" fontId="157" fillId="0" borderId="0" xfId="6" applyFont="1" applyAlignment="1">
      <alignment horizontal="center" wrapText="1"/>
    </xf>
    <xf numFmtId="0" fontId="49" fillId="0" borderId="0" xfId="6" applyFont="1" applyAlignment="1">
      <alignment horizontal="center" wrapText="1"/>
    </xf>
    <xf numFmtId="0" fontId="157" fillId="0" borderId="0" xfId="6" applyFont="1" applyBorder="1" applyAlignment="1">
      <alignment horizontal="center" wrapText="1"/>
    </xf>
    <xf numFmtId="3" fontId="6" fillId="0" borderId="1" xfId="14" applyNumberFormat="1" applyFont="1" applyFill="1" applyBorder="1" applyAlignment="1">
      <alignment horizontal="center"/>
    </xf>
    <xf numFmtId="1" fontId="49" fillId="0" borderId="0" xfId="14" applyNumberFormat="1" applyFont="1" applyFill="1" applyAlignment="1">
      <alignment horizontal="center"/>
    </xf>
    <xf numFmtId="0" fontId="48" fillId="0" borderId="1" xfId="14" applyFont="1" applyFill="1" applyBorder="1" applyAlignment="1">
      <alignment horizontal="center"/>
    </xf>
    <xf numFmtId="4" fontId="148" fillId="0" borderId="1" xfId="14" applyNumberFormat="1" applyFont="1" applyFill="1" applyBorder="1" applyAlignment="1">
      <alignment horizontal="center" vertical="center" wrapText="1"/>
    </xf>
    <xf numFmtId="0" fontId="148" fillId="0" borderId="1" xfId="6" applyFont="1" applyFill="1" applyBorder="1" applyAlignment="1">
      <alignment vertical="top" wrapText="1"/>
    </xf>
    <xf numFmtId="0" fontId="148" fillId="0" borderId="1" xfId="14" applyFont="1" applyFill="1" applyBorder="1" applyAlignment="1">
      <alignment horizontal="center"/>
    </xf>
    <xf numFmtId="0" fontId="148" fillId="0" borderId="1" xfId="14" applyFont="1" applyFill="1" applyBorder="1"/>
    <xf numFmtId="4" fontId="148" fillId="0" borderId="0" xfId="14" applyNumberFormat="1" applyFont="1" applyFill="1" applyBorder="1" applyAlignment="1">
      <alignment horizontal="center" vertical="center" wrapText="1"/>
    </xf>
    <xf numFmtId="0" fontId="148" fillId="0" borderId="0" xfId="14" applyFont="1" applyFill="1" applyBorder="1" applyAlignment="1">
      <alignment horizontal="center"/>
    </xf>
    <xf numFmtId="0" fontId="33" fillId="0" borderId="0" xfId="9" applyFont="1" applyBorder="1" applyAlignment="1">
      <alignment horizontal="left" wrapText="1"/>
    </xf>
    <xf numFmtId="0" fontId="33" fillId="0" borderId="0" xfId="11" applyFont="1" applyFill="1" applyBorder="1" applyAlignment="1">
      <alignment horizontal="left" wrapText="1"/>
    </xf>
    <xf numFmtId="0" fontId="148" fillId="0" borderId="1" xfId="0" applyFont="1" applyFill="1" applyBorder="1" applyAlignment="1">
      <alignment horizontal="center"/>
    </xf>
    <xf numFmtId="0" fontId="148" fillId="0" borderId="1" xfId="0" applyFont="1" applyFill="1" applyBorder="1" applyAlignment="1">
      <alignment wrapText="1"/>
    </xf>
    <xf numFmtId="0" fontId="148" fillId="0" borderId="1" xfId="2" applyFont="1" applyFill="1" applyBorder="1" applyAlignment="1" applyProtection="1">
      <alignment horizontal="center" wrapText="1"/>
    </xf>
    <xf numFmtId="0" fontId="148" fillId="0" borderId="1" xfId="0" applyFont="1" applyFill="1" applyBorder="1" applyAlignment="1">
      <alignment horizontal="center" wrapText="1"/>
    </xf>
    <xf numFmtId="0" fontId="0" fillId="0" borderId="0" xfId="0" applyFill="1"/>
    <xf numFmtId="0" fontId="52" fillId="0" borderId="0" xfId="14" applyFont="1" applyFill="1" applyAlignment="1">
      <alignment horizontal="left"/>
    </xf>
    <xf numFmtId="4" fontId="52" fillId="0" borderId="1" xfId="14" applyNumberFormat="1" applyFont="1" applyFill="1" applyBorder="1" applyAlignment="1">
      <alignment horizontal="left" vertical="center" wrapText="1"/>
    </xf>
    <xf numFmtId="0" fontId="52" fillId="0" borderId="1" xfId="14" applyFont="1" applyFill="1" applyBorder="1" applyAlignment="1">
      <alignment horizontal="left" wrapText="1"/>
    </xf>
    <xf numFmtId="0" fontId="52" fillId="0" borderId="1" xfId="14" applyFont="1" applyFill="1" applyBorder="1" applyAlignment="1">
      <alignment horizontal="left"/>
    </xf>
    <xf numFmtId="4" fontId="52" fillId="0" borderId="0" xfId="14" applyNumberFormat="1" applyFont="1" applyFill="1" applyBorder="1" applyAlignment="1">
      <alignment horizontal="left" vertical="center" wrapText="1"/>
    </xf>
    <xf numFmtId="0" fontId="52" fillId="0" borderId="0" xfId="14" applyFont="1" applyFill="1" applyBorder="1" applyAlignment="1">
      <alignment horizontal="left"/>
    </xf>
    <xf numFmtId="0" fontId="148" fillId="0" borderId="1" xfId="0" applyFont="1" applyFill="1" applyBorder="1" applyAlignment="1">
      <alignment horizontal="left" wrapText="1"/>
    </xf>
    <xf numFmtId="0" fontId="162" fillId="0" borderId="1" xfId="0" applyFont="1" applyFill="1" applyBorder="1" applyAlignment="1">
      <alignment horizontal="left" wrapText="1"/>
    </xf>
    <xf numFmtId="0" fontId="89" fillId="0" borderId="1" xfId="0" applyFont="1" applyFill="1" applyBorder="1" applyAlignment="1">
      <alignment horizontal="center"/>
    </xf>
    <xf numFmtId="0" fontId="163" fillId="0" borderId="1" xfId="0" applyFont="1" applyFill="1" applyBorder="1" applyAlignment="1">
      <alignment horizontal="left" wrapText="1"/>
    </xf>
    <xf numFmtId="0" fontId="89" fillId="0" borderId="1" xfId="0" applyFont="1" applyFill="1" applyBorder="1" applyAlignment="1">
      <alignment wrapText="1"/>
    </xf>
    <xf numFmtId="0" fontId="89" fillId="0" borderId="1" xfId="2" applyFont="1" applyFill="1" applyBorder="1" applyAlignment="1" applyProtection="1">
      <alignment horizontal="center" wrapText="1"/>
    </xf>
    <xf numFmtId="0" fontId="89" fillId="0" borderId="1" xfId="0" applyFont="1" applyFill="1" applyBorder="1" applyAlignment="1">
      <alignment horizontal="center" wrapText="1"/>
    </xf>
    <xf numFmtId="0" fontId="0" fillId="0" borderId="0" xfId="0" applyFont="1" applyFill="1"/>
    <xf numFmtId="4" fontId="51" fillId="0" borderId="0" xfId="14" applyNumberFormat="1" applyFont="1" applyFill="1" applyAlignment="1">
      <alignment horizontal="center"/>
    </xf>
    <xf numFmtId="3" fontId="51" fillId="0" borderId="0" xfId="14" applyNumberFormat="1" applyFont="1" applyFill="1" applyAlignment="1">
      <alignment horizontal="center"/>
    </xf>
    <xf numFmtId="3" fontId="51" fillId="0" borderId="0" xfId="6" applyNumberFormat="1" applyFont="1" applyAlignment="1">
      <alignment horizontal="center" wrapText="1"/>
    </xf>
    <xf numFmtId="1" fontId="51" fillId="0" borderId="0" xfId="6" applyNumberFormat="1" applyFont="1" applyBorder="1" applyAlignment="1">
      <alignment horizontal="center" wrapText="1"/>
    </xf>
    <xf numFmtId="1" fontId="157" fillId="0" borderId="0" xfId="6" applyNumberFormat="1" applyFont="1" applyAlignment="1">
      <alignment horizontal="center" wrapText="1"/>
    </xf>
    <xf numFmtId="3" fontId="48" fillId="0" borderId="0" xfId="6" applyNumberFormat="1" applyFont="1" applyAlignment="1">
      <alignment horizontal="center" wrapText="1"/>
    </xf>
    <xf numFmtId="3" fontId="48" fillId="0" borderId="0" xfId="6" applyNumberFormat="1" applyFont="1" applyBorder="1" applyAlignment="1">
      <alignment horizontal="center" wrapText="1"/>
    </xf>
    <xf numFmtId="0" fontId="43" fillId="0" borderId="0" xfId="0" applyFont="1" applyFill="1" applyAlignment="1">
      <alignment horizontal="center" vertical="center"/>
    </xf>
    <xf numFmtId="0" fontId="47" fillId="0" borderId="0" xfId="0" applyFont="1" applyFill="1"/>
    <xf numFmtId="0" fontId="95" fillId="0" borderId="0" xfId="0" applyFont="1" applyFill="1" applyAlignment="1">
      <alignment horizontal="center" vertical="center"/>
    </xf>
    <xf numFmtId="0" fontId="97" fillId="0" borderId="0" xfId="0" applyFont="1" applyFill="1"/>
    <xf numFmtId="0" fontId="148" fillId="0" borderId="0" xfId="0" applyFont="1" applyFill="1" applyAlignment="1">
      <alignment horizontal="center" vertical="center"/>
    </xf>
    <xf numFmtId="0" fontId="148" fillId="0" borderId="0" xfId="0" applyFont="1" applyFill="1"/>
    <xf numFmtId="1" fontId="164" fillId="0" borderId="0" xfId="0" applyNumberFormat="1" applyFont="1" applyFill="1"/>
    <xf numFmtId="0" fontId="92" fillId="0" borderId="0" xfId="0" applyFont="1" applyFill="1" applyAlignment="1">
      <alignment horizontal="center" vertical="center"/>
    </xf>
    <xf numFmtId="0" fontId="98" fillId="0" borderId="0" xfId="0" applyFont="1" applyFill="1"/>
    <xf numFmtId="0" fontId="53" fillId="0" borderId="1" xfId="0" applyFont="1" applyFill="1" applyBorder="1" applyAlignment="1" applyProtection="1">
      <alignment horizontal="center" wrapText="1"/>
      <protection locked="0"/>
    </xf>
    <xf numFmtId="3" fontId="54" fillId="0" borderId="1" xfId="0" applyNumberFormat="1" applyFont="1" applyFill="1" applyBorder="1" applyAlignment="1" applyProtection="1">
      <alignment horizontal="center"/>
      <protection locked="0"/>
    </xf>
    <xf numFmtId="0" fontId="74" fillId="0" borderId="1" xfId="0" applyFont="1" applyFill="1" applyBorder="1" applyAlignment="1" applyProtection="1">
      <alignment horizontal="center" wrapText="1"/>
      <protection locked="0"/>
    </xf>
    <xf numFmtId="0" fontId="83" fillId="2" borderId="1" xfId="0" applyFont="1" applyFill="1" applyBorder="1" applyAlignment="1">
      <alignment horizontal="left" vertical="center" wrapText="1"/>
    </xf>
    <xf numFmtId="3" fontId="74" fillId="0" borderId="1" xfId="0" applyNumberFormat="1" applyFont="1" applyFill="1" applyBorder="1" applyAlignment="1" applyProtection="1">
      <alignment horizontal="center"/>
      <protection locked="0"/>
    </xf>
    <xf numFmtId="0" fontId="74" fillId="0" borderId="1" xfId="0" applyFont="1" applyFill="1" applyBorder="1" applyAlignment="1">
      <alignment wrapText="1"/>
    </xf>
    <xf numFmtId="0" fontId="83" fillId="0" borderId="1" xfId="0" applyFont="1" applyFill="1" applyBorder="1" applyAlignment="1">
      <alignment horizontal="center"/>
    </xf>
    <xf numFmtId="0" fontId="74" fillId="0" borderId="1" xfId="0" applyFont="1" applyFill="1" applyBorder="1" applyAlignment="1">
      <alignment horizontal="center"/>
    </xf>
    <xf numFmtId="0" fontId="74" fillId="0" borderId="1" xfId="0" applyFont="1" applyFill="1" applyBorder="1" applyAlignment="1" applyProtection="1">
      <alignment horizontal="right" wrapText="1"/>
      <protection locked="0"/>
    </xf>
    <xf numFmtId="1" fontId="74" fillId="0" borderId="1" xfId="0" applyNumberFormat="1" applyFont="1" applyFill="1" applyBorder="1" applyAlignment="1" applyProtection="1">
      <alignment horizontal="center"/>
      <protection locked="0"/>
    </xf>
    <xf numFmtId="0" fontId="83" fillId="0" borderId="1" xfId="0" applyFont="1" applyFill="1" applyBorder="1" applyAlignment="1"/>
    <xf numFmtId="0" fontId="74" fillId="0" borderId="0" xfId="0" applyFont="1" applyAlignment="1">
      <alignment vertical="center"/>
    </xf>
    <xf numFmtId="0" fontId="166" fillId="0" borderId="0" xfId="0" applyFont="1" applyFill="1"/>
    <xf numFmtId="0" fontId="48" fillId="0" borderId="1" xfId="13" applyFont="1" applyFill="1" applyBorder="1" applyAlignment="1">
      <alignment horizontal="center" vertical="center" wrapText="1"/>
    </xf>
    <xf numFmtId="49" fontId="52" fillId="0" borderId="1" xfId="13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Border="1" applyAlignment="1">
      <alignment horizontal="center"/>
    </xf>
    <xf numFmtId="3" fontId="92" fillId="0" borderId="0" xfId="0" applyNumberFormat="1" applyFont="1" applyFill="1"/>
    <xf numFmtId="49" fontId="148" fillId="0" borderId="1" xfId="14" applyNumberFormat="1" applyFont="1" applyFill="1" applyBorder="1" applyAlignment="1">
      <alignment horizontal="center" vertical="center" wrapText="1"/>
    </xf>
    <xf numFmtId="49" fontId="52" fillId="0" borderId="1" xfId="14" applyNumberFormat="1" applyFont="1" applyFill="1" applyBorder="1" applyAlignment="1">
      <alignment horizontal="left" vertical="center" wrapText="1"/>
    </xf>
    <xf numFmtId="49" fontId="49" fillId="0" borderId="1" xfId="14" applyNumberFormat="1" applyFont="1" applyFill="1" applyBorder="1" applyAlignment="1">
      <alignment horizontal="center" vertical="center" wrapText="1"/>
    </xf>
    <xf numFmtId="49" fontId="7" fillId="0" borderId="1" xfId="14" applyNumberFormat="1" applyFont="1" applyFill="1" applyBorder="1" applyAlignment="1">
      <alignment horizontal="center" vertical="center" wrapText="1"/>
    </xf>
    <xf numFmtId="1" fontId="33" fillId="0" borderId="0" xfId="9" applyNumberFormat="1" applyFont="1"/>
    <xf numFmtId="0" fontId="167" fillId="0" borderId="0" xfId="13" applyFont="1" applyFill="1" applyBorder="1" applyAlignment="1">
      <alignment horizontal="left"/>
    </xf>
    <xf numFmtId="14" fontId="171" fillId="0" borderId="0" xfId="13" applyNumberFormat="1" applyFont="1" applyFill="1" applyAlignment="1"/>
    <xf numFmtId="0" fontId="172" fillId="0" borderId="0" xfId="13" applyFont="1" applyFill="1" applyAlignment="1"/>
    <xf numFmtId="0" fontId="173" fillId="0" borderId="0" xfId="13" applyFont="1" applyFill="1" applyBorder="1" applyAlignment="1">
      <alignment horizontal="left"/>
    </xf>
    <xf numFmtId="0" fontId="173" fillId="0" borderId="0" xfId="13" applyFont="1" applyFill="1" applyAlignment="1"/>
    <xf numFmtId="0" fontId="173" fillId="2" borderId="0" xfId="13" applyFont="1" applyFill="1" applyAlignment="1"/>
    <xf numFmtId="0" fontId="175" fillId="0" borderId="0" xfId="13" applyFont="1" applyFill="1" applyAlignment="1">
      <alignment horizontal="center"/>
    </xf>
    <xf numFmtId="0" fontId="176" fillId="9" borderId="0" xfId="13" applyFont="1" applyFill="1" applyAlignment="1">
      <alignment horizontal="center"/>
    </xf>
    <xf numFmtId="0" fontId="177" fillId="0" borderId="0" xfId="13" applyFont="1" applyFill="1" applyAlignment="1">
      <alignment horizontal="center"/>
    </xf>
    <xf numFmtId="0" fontId="175" fillId="0" borderId="0" xfId="13" applyFont="1" applyFill="1" applyAlignment="1">
      <alignment horizontal="right"/>
    </xf>
    <xf numFmtId="0" fontId="178" fillId="9" borderId="0" xfId="13" applyFont="1" applyFill="1" applyAlignment="1">
      <alignment horizontal="center"/>
    </xf>
    <xf numFmtId="0" fontId="173" fillId="0" borderId="0" xfId="13" applyFont="1" applyFill="1" applyAlignment="1">
      <alignment horizontal="center"/>
    </xf>
    <xf numFmtId="0" fontId="179" fillId="0" borderId="0" xfId="13" applyFont="1" applyFill="1" applyAlignment="1">
      <alignment horizontal="center"/>
    </xf>
    <xf numFmtId="2" fontId="173" fillId="0" borderId="0" xfId="13" applyNumberFormat="1" applyFont="1" applyFill="1" applyAlignment="1">
      <alignment horizontal="center"/>
    </xf>
    <xf numFmtId="0" fontId="173" fillId="0" borderId="0" xfId="13" applyFont="1" applyFill="1" applyAlignment="1">
      <alignment horizontal="right"/>
    </xf>
    <xf numFmtId="170" fontId="173" fillId="0" borderId="0" xfId="13" applyNumberFormat="1" applyFont="1" applyFill="1" applyAlignment="1">
      <alignment horizontal="right"/>
    </xf>
    <xf numFmtId="171" fontId="173" fillId="0" borderId="0" xfId="13" applyNumberFormat="1" applyFont="1" applyFill="1" applyAlignment="1">
      <alignment horizontal="right"/>
    </xf>
    <xf numFmtId="0" fontId="173" fillId="0" borderId="1" xfId="13" applyFont="1" applyFill="1" applyBorder="1" applyAlignment="1">
      <alignment horizontal="center" vertical="center" wrapText="1"/>
    </xf>
    <xf numFmtId="0" fontId="172" fillId="0" borderId="1" xfId="0" applyFont="1" applyFill="1" applyBorder="1" applyAlignment="1">
      <alignment horizontal="center" vertical="center" wrapText="1"/>
    </xf>
    <xf numFmtId="0" fontId="178" fillId="9" borderId="1" xfId="13" applyFont="1" applyFill="1" applyBorder="1" applyAlignment="1">
      <alignment horizontal="center" vertical="center" wrapText="1"/>
    </xf>
    <xf numFmtId="0" fontId="179" fillId="0" borderId="1" xfId="13" applyFont="1" applyFill="1" applyBorder="1" applyAlignment="1">
      <alignment horizontal="center" vertical="center" wrapText="1"/>
    </xf>
    <xf numFmtId="0" fontId="173" fillId="0" borderId="1" xfId="13" applyFont="1" applyFill="1" applyBorder="1" applyAlignment="1">
      <alignment horizontal="right"/>
    </xf>
    <xf numFmtId="0" fontId="175" fillId="0" borderId="0" xfId="13" applyFont="1" applyFill="1" applyBorder="1" applyAlignment="1">
      <alignment horizontal="center"/>
    </xf>
    <xf numFmtId="4" fontId="176" fillId="0" borderId="0" xfId="13" applyNumberFormat="1" applyFont="1" applyFill="1" applyBorder="1" applyAlignment="1">
      <alignment horizontal="center"/>
    </xf>
    <xf numFmtId="0" fontId="176" fillId="0" borderId="0" xfId="13" applyFont="1" applyFill="1" applyBorder="1" applyAlignment="1">
      <alignment horizontal="center"/>
    </xf>
    <xf numFmtId="0" fontId="177" fillId="0" borderId="0" xfId="13" applyFont="1" applyFill="1" applyBorder="1" applyAlignment="1">
      <alignment horizontal="center"/>
    </xf>
    <xf numFmtId="0" fontId="175" fillId="0" borderId="0" xfId="13" applyFont="1" applyFill="1" applyBorder="1" applyAlignment="1">
      <alignment horizontal="right"/>
    </xf>
    <xf numFmtId="3" fontId="175" fillId="0" borderId="0" xfId="13" applyNumberFormat="1" applyFont="1" applyFill="1" applyBorder="1" applyAlignment="1">
      <alignment horizontal="right"/>
    </xf>
    <xf numFmtId="9" fontId="175" fillId="0" borderId="0" xfId="13" applyNumberFormat="1" applyFont="1" applyFill="1" applyBorder="1" applyAlignment="1">
      <alignment horizontal="right"/>
    </xf>
    <xf numFmtId="0" fontId="176" fillId="0" borderId="0" xfId="13" applyFont="1" applyFill="1" applyAlignment="1">
      <alignment horizontal="center"/>
    </xf>
    <xf numFmtId="0" fontId="181" fillId="0" borderId="0" xfId="13" applyFont="1" applyFill="1" applyAlignment="1">
      <alignment horizontal="right"/>
    </xf>
    <xf numFmtId="0" fontId="175" fillId="2" borderId="0" xfId="13" applyFont="1" applyFill="1" applyAlignment="1">
      <alignment horizontal="center"/>
    </xf>
    <xf numFmtId="0" fontId="52" fillId="6" borderId="0" xfId="13" applyFont="1" applyFill="1" applyAlignment="1">
      <alignment vertical="center"/>
    </xf>
    <xf numFmtId="2" fontId="52" fillId="6" borderId="0" xfId="13" applyNumberFormat="1" applyFont="1" applyFill="1" applyAlignment="1">
      <alignment vertical="center"/>
    </xf>
    <xf numFmtId="0" fontId="51" fillId="6" borderId="0" xfId="13" applyFont="1" applyFill="1" applyAlignment="1">
      <alignment vertical="center"/>
    </xf>
    <xf numFmtId="0" fontId="182" fillId="0" borderId="0" xfId="13" applyFont="1" applyFill="1" applyAlignment="1">
      <alignment horizontal="center"/>
    </xf>
    <xf numFmtId="0" fontId="167" fillId="0" borderId="0" xfId="13" applyFont="1" applyFill="1" applyAlignment="1">
      <alignment horizontal="center"/>
    </xf>
    <xf numFmtId="0" fontId="167" fillId="0" borderId="1" xfId="13" applyFont="1" applyFill="1" applyBorder="1" applyAlignment="1">
      <alignment horizontal="center" vertical="center" wrapText="1"/>
    </xf>
    <xf numFmtId="49" fontId="167" fillId="0" borderId="1" xfId="13" applyNumberFormat="1" applyFont="1" applyFill="1" applyBorder="1" applyAlignment="1">
      <alignment horizontal="center" vertical="center" textRotation="90" wrapText="1" shrinkToFit="1"/>
    </xf>
    <xf numFmtId="0" fontId="167" fillId="0" borderId="1" xfId="13" applyFont="1" applyFill="1" applyBorder="1" applyAlignment="1">
      <alignment horizontal="center" vertical="center" textRotation="90" wrapText="1"/>
    </xf>
    <xf numFmtId="0" fontId="167" fillId="0" borderId="1" xfId="13" applyFont="1" applyFill="1" applyBorder="1" applyAlignment="1">
      <alignment horizontal="center" vertical="center" textRotation="90"/>
    </xf>
    <xf numFmtId="49" fontId="167" fillId="0" borderId="1" xfId="13" applyNumberFormat="1" applyFont="1" applyFill="1" applyBorder="1" applyAlignment="1">
      <alignment horizontal="center" vertical="center" wrapText="1" shrinkToFit="1"/>
    </xf>
    <xf numFmtId="0" fontId="182" fillId="0" borderId="0" xfId="13" applyFont="1" applyFill="1" applyBorder="1" applyAlignment="1">
      <alignment horizontal="center"/>
    </xf>
    <xf numFmtId="0" fontId="167" fillId="0" borderId="0" xfId="13" applyFont="1" applyFill="1" applyBorder="1"/>
    <xf numFmtId="2" fontId="182" fillId="0" borderId="0" xfId="13" applyNumberFormat="1" applyFont="1" applyFill="1" applyBorder="1" applyAlignment="1">
      <alignment horizontal="center" vertical="center" wrapText="1"/>
    </xf>
    <xf numFmtId="0" fontId="182" fillId="0" borderId="0" xfId="13" applyFont="1" applyFill="1" applyBorder="1"/>
    <xf numFmtId="9" fontId="182" fillId="0" borderId="0" xfId="13" applyNumberFormat="1" applyFont="1" applyFill="1" applyBorder="1" applyAlignment="1">
      <alignment horizontal="center" vertical="center" wrapText="1"/>
    </xf>
    <xf numFmtId="4" fontId="167" fillId="0" borderId="0" xfId="13" applyNumberFormat="1" applyFont="1" applyFill="1" applyBorder="1"/>
    <xf numFmtId="0" fontId="182" fillId="2" borderId="0" xfId="13" applyFont="1" applyFill="1" applyAlignment="1">
      <alignment horizontal="center"/>
    </xf>
    <xf numFmtId="0" fontId="182" fillId="6" borderId="0" xfId="13" applyFont="1" applyFill="1" applyAlignment="1">
      <alignment horizontal="center"/>
    </xf>
    <xf numFmtId="0" fontId="51" fillId="0" borderId="1" xfId="0" applyFont="1" applyFill="1" applyBorder="1" applyAlignment="1">
      <alignment horizontal="left" wrapText="1"/>
    </xf>
    <xf numFmtId="0" fontId="48" fillId="0" borderId="1" xfId="13" applyFont="1" applyFill="1" applyBorder="1" applyAlignment="1">
      <alignment horizontal="left" vertical="center" wrapText="1"/>
    </xf>
    <xf numFmtId="0" fontId="185" fillId="0" borderId="0" xfId="0" applyFont="1" applyFill="1"/>
    <xf numFmtId="2" fontId="48" fillId="0" borderId="1" xfId="14" applyNumberFormat="1" applyFont="1" applyFill="1" applyBorder="1" applyAlignment="1"/>
    <xf numFmtId="0" fontId="156" fillId="0" borderId="1" xfId="13" applyFont="1" applyFill="1" applyBorder="1" applyAlignment="1">
      <alignment horizontal="center" vertical="center" wrapText="1"/>
    </xf>
    <xf numFmtId="0" fontId="186" fillId="0" borderId="1" xfId="0" applyFont="1" applyFill="1" applyBorder="1" applyAlignment="1">
      <alignment horizontal="left" wrapText="1"/>
    </xf>
    <xf numFmtId="0" fontId="169" fillId="0" borderId="1" xfId="14" applyFont="1" applyFill="1" applyBorder="1" applyAlignment="1">
      <alignment horizontal="center"/>
    </xf>
    <xf numFmtId="0" fontId="169" fillId="0" borderId="1" xfId="14" applyFont="1" applyFill="1" applyBorder="1" applyAlignment="1"/>
    <xf numFmtId="3" fontId="186" fillId="0" borderId="1" xfId="14" applyNumberFormat="1" applyFont="1" applyFill="1" applyBorder="1" applyAlignment="1">
      <alignment horizontal="center" vertical="center"/>
    </xf>
    <xf numFmtId="3" fontId="186" fillId="0" borderId="1" xfId="14" applyNumberFormat="1" applyFont="1" applyFill="1" applyBorder="1" applyAlignment="1">
      <alignment horizontal="center" vertical="center" wrapText="1"/>
    </xf>
    <xf numFmtId="0" fontId="187" fillId="0" borderId="0" xfId="0" applyFont="1" applyFill="1"/>
    <xf numFmtId="0" fontId="172" fillId="0" borderId="1" xfId="0" applyFont="1" applyFill="1" applyBorder="1" applyAlignment="1">
      <alignment horizontal="right" vertical="center" wrapText="1"/>
    </xf>
    <xf numFmtId="0" fontId="51" fillId="0" borderId="1" xfId="13" applyFont="1" applyFill="1" applyBorder="1" applyAlignment="1">
      <alignment vertical="center"/>
    </xf>
    <xf numFmtId="0" fontId="172" fillId="0" borderId="0" xfId="13" applyFont="1" applyFill="1" applyAlignment="1">
      <alignment vertical="center"/>
    </xf>
    <xf numFmtId="0" fontId="52" fillId="9" borderId="0" xfId="13" applyFont="1" applyFill="1" applyAlignment="1">
      <alignment vertical="center"/>
    </xf>
    <xf numFmtId="0" fontId="51" fillId="9" borderId="0" xfId="13" applyFont="1" applyFill="1" applyAlignment="1">
      <alignment vertical="center"/>
    </xf>
    <xf numFmtId="0" fontId="168" fillId="0" borderId="1" xfId="13" applyFont="1" applyFill="1" applyBorder="1" applyAlignment="1">
      <alignment vertical="center"/>
    </xf>
    <xf numFmtId="3" fontId="168" fillId="0" borderId="1" xfId="13" applyNumberFormat="1" applyFont="1" applyFill="1" applyBorder="1" applyAlignment="1">
      <alignment horizontal="center" vertical="center"/>
    </xf>
    <xf numFmtId="4" fontId="168" fillId="0" borderId="1" xfId="13" applyNumberFormat="1" applyFont="1" applyFill="1" applyBorder="1" applyAlignment="1">
      <alignment horizontal="center" vertical="center"/>
    </xf>
    <xf numFmtId="2" fontId="168" fillId="0" borderId="1" xfId="13" applyNumberFormat="1" applyFont="1" applyFill="1" applyBorder="1" applyAlignment="1">
      <alignment horizontal="center" vertical="center"/>
    </xf>
    <xf numFmtId="170" fontId="168" fillId="0" borderId="1" xfId="13" applyNumberFormat="1" applyFont="1" applyFill="1" applyBorder="1" applyAlignment="1">
      <alignment horizontal="center" vertical="center"/>
    </xf>
    <xf numFmtId="1" fontId="168" fillId="0" borderId="1" xfId="13" applyNumberFormat="1" applyFont="1" applyFill="1" applyBorder="1" applyAlignment="1">
      <alignment horizontal="center" vertical="center"/>
    </xf>
    <xf numFmtId="0" fontId="189" fillId="0" borderId="0" xfId="13" applyFont="1" applyFill="1" applyAlignment="1">
      <alignment horizontal="center"/>
    </xf>
    <xf numFmtId="0" fontId="190" fillId="0" borderId="0" xfId="13" applyFont="1" applyFill="1" applyAlignment="1">
      <alignment horizontal="center"/>
    </xf>
    <xf numFmtId="0" fontId="191" fillId="0" borderId="1" xfId="13" applyFont="1" applyFill="1" applyBorder="1" applyAlignment="1">
      <alignment vertical="center"/>
    </xf>
    <xf numFmtId="0" fontId="190" fillId="0" borderId="0" xfId="13" applyFont="1" applyFill="1" applyBorder="1"/>
    <xf numFmtId="0" fontId="189" fillId="2" borderId="0" xfId="13" applyFont="1" applyFill="1" applyAlignment="1">
      <alignment horizontal="center"/>
    </xf>
    <xf numFmtId="0" fontId="168" fillId="0" borderId="1" xfId="13" applyFont="1" applyFill="1" applyBorder="1" applyAlignment="1">
      <alignment horizontal="center" vertical="center" wrapText="1"/>
    </xf>
    <xf numFmtId="0" fontId="191" fillId="0" borderId="1" xfId="13" applyFont="1" applyFill="1" applyBorder="1" applyAlignment="1">
      <alignment horizontal="center" vertical="center" wrapText="1"/>
    </xf>
    <xf numFmtId="0" fontId="168" fillId="0" borderId="1" xfId="13" applyFont="1" applyFill="1" applyBorder="1" applyAlignment="1">
      <alignment horizontal="center" vertical="center"/>
    </xf>
    <xf numFmtId="0" fontId="167" fillId="0" borderId="1" xfId="13" applyFont="1" applyFill="1" applyBorder="1" applyAlignment="1">
      <alignment horizontal="center" vertical="center"/>
    </xf>
    <xf numFmtId="0" fontId="178" fillId="9" borderId="1" xfId="13" applyFont="1" applyFill="1" applyBorder="1" applyAlignment="1">
      <alignment horizontal="center" vertical="center"/>
    </xf>
    <xf numFmtId="0" fontId="172" fillId="0" borderId="1" xfId="13" applyFont="1" applyFill="1" applyBorder="1" applyAlignment="1">
      <alignment horizontal="center" vertical="center"/>
    </xf>
    <xf numFmtId="0" fontId="179" fillId="0" borderId="1" xfId="13" applyFont="1" applyFill="1" applyBorder="1" applyAlignment="1">
      <alignment horizontal="center" vertical="center"/>
    </xf>
    <xf numFmtId="0" fontId="172" fillId="0" borderId="1" xfId="13" applyFont="1" applyFill="1" applyBorder="1" applyAlignment="1">
      <alignment horizontal="right" vertical="center"/>
    </xf>
    <xf numFmtId="2" fontId="179" fillId="0" borderId="1" xfId="13" applyNumberFormat="1" applyFont="1" applyFill="1" applyBorder="1" applyAlignment="1">
      <alignment horizontal="center" vertical="center"/>
    </xf>
    <xf numFmtId="0" fontId="167" fillId="0" borderId="1" xfId="13" applyFont="1" applyFill="1" applyBorder="1" applyAlignment="1">
      <alignment vertical="center" wrapText="1"/>
    </xf>
    <xf numFmtId="0" fontId="190" fillId="0" borderId="1" xfId="13" applyFont="1" applyFill="1" applyBorder="1" applyAlignment="1">
      <alignment horizontal="center" vertical="center" wrapText="1"/>
    </xf>
    <xf numFmtId="2" fontId="167" fillId="0" borderId="1" xfId="13" applyNumberFormat="1" applyFont="1" applyFill="1" applyBorder="1" applyAlignment="1">
      <alignment horizontal="center" vertical="center" wrapText="1"/>
    </xf>
    <xf numFmtId="171" fontId="167" fillId="0" borderId="1" xfId="13" applyNumberFormat="1" applyFont="1" applyFill="1" applyBorder="1" applyAlignment="1">
      <alignment horizontal="center" vertical="center" wrapText="1"/>
    </xf>
    <xf numFmtId="176" fontId="167" fillId="0" borderId="1" xfId="13" applyNumberFormat="1" applyFont="1" applyFill="1" applyBorder="1" applyAlignment="1">
      <alignment horizontal="center" vertical="center" wrapText="1"/>
    </xf>
    <xf numFmtId="9" fontId="167" fillId="0" borderId="1" xfId="13" applyNumberFormat="1" applyFont="1" applyFill="1" applyBorder="1" applyAlignment="1">
      <alignment horizontal="center" vertical="center" wrapText="1"/>
    </xf>
    <xf numFmtId="2" fontId="178" fillId="0" borderId="1" xfId="13" applyNumberFormat="1" applyFont="1" applyFill="1" applyBorder="1" applyAlignment="1">
      <alignment horizontal="center" vertical="center" wrapText="1"/>
    </xf>
    <xf numFmtId="2" fontId="173" fillId="0" borderId="1" xfId="13" applyNumberFormat="1" applyFont="1" applyFill="1" applyBorder="1" applyAlignment="1">
      <alignment horizontal="center" vertical="center" wrapText="1"/>
    </xf>
    <xf numFmtId="2" fontId="179" fillId="0" borderId="1" xfId="13" applyNumberFormat="1" applyFont="1" applyFill="1" applyBorder="1" applyAlignment="1">
      <alignment horizontal="center" vertical="center" wrapText="1"/>
    </xf>
    <xf numFmtId="0" fontId="173" fillId="0" borderId="1" xfId="13" applyFont="1" applyFill="1" applyBorder="1" applyAlignment="1">
      <alignment horizontal="right" vertical="center"/>
    </xf>
    <xf numFmtId="170" fontId="167" fillId="0" borderId="1" xfId="13" applyNumberFormat="1" applyFont="1" applyFill="1" applyBorder="1" applyAlignment="1">
      <alignment horizontal="center" vertical="center" wrapText="1"/>
    </xf>
    <xf numFmtId="2" fontId="173" fillId="0" borderId="1" xfId="13" applyNumberFormat="1" applyFont="1" applyFill="1" applyBorder="1" applyAlignment="1">
      <alignment horizontal="right" vertical="center"/>
    </xf>
    <xf numFmtId="0" fontId="167" fillId="0" borderId="1" xfId="13" applyNumberFormat="1" applyFont="1" applyFill="1" applyBorder="1" applyAlignment="1">
      <alignment horizontal="center" vertical="center" wrapText="1"/>
    </xf>
    <xf numFmtId="0" fontId="190" fillId="0" borderId="1" xfId="13" applyFont="1" applyFill="1" applyBorder="1" applyAlignment="1">
      <alignment horizontal="center" vertical="center"/>
    </xf>
    <xf numFmtId="2" fontId="172" fillId="0" borderId="1" xfId="13" applyNumberFormat="1" applyFont="1" applyFill="1" applyBorder="1" applyAlignment="1">
      <alignment horizontal="center" vertical="center"/>
    </xf>
    <xf numFmtId="0" fontId="178" fillId="0" borderId="1" xfId="13" applyFont="1" applyFill="1" applyBorder="1" applyAlignment="1">
      <alignment horizontal="center" vertical="center"/>
    </xf>
    <xf numFmtId="1" fontId="173" fillId="0" borderId="1" xfId="13" applyNumberFormat="1" applyFont="1" applyFill="1" applyBorder="1" applyAlignment="1">
      <alignment horizontal="right" vertical="center"/>
    </xf>
    <xf numFmtId="2" fontId="168" fillId="0" borderId="1" xfId="13" applyNumberFormat="1" applyFont="1" applyFill="1" applyBorder="1" applyAlignment="1">
      <alignment horizontal="center" vertical="center" wrapText="1"/>
    </xf>
    <xf numFmtId="0" fontId="167" fillId="0" borderId="1" xfId="13" applyNumberFormat="1" applyFont="1" applyFill="1" applyBorder="1" applyAlignment="1">
      <alignment vertical="center" wrapText="1"/>
    </xf>
    <xf numFmtId="0" fontId="190" fillId="0" borderId="1" xfId="13" applyNumberFormat="1" applyFont="1" applyFill="1" applyBorder="1" applyAlignment="1">
      <alignment horizontal="center" vertical="center" wrapText="1"/>
    </xf>
    <xf numFmtId="0" fontId="188" fillId="0" borderId="1" xfId="13" applyFont="1" applyFill="1" applyBorder="1" applyAlignment="1">
      <alignment horizontal="center" vertical="center" wrapText="1"/>
    </xf>
    <xf numFmtId="9" fontId="184" fillId="0" borderId="1" xfId="13" applyNumberFormat="1" applyFont="1" applyFill="1" applyBorder="1" applyAlignment="1">
      <alignment horizontal="center" vertical="center" wrapText="1"/>
    </xf>
    <xf numFmtId="170" fontId="184" fillId="0" borderId="1" xfId="13" applyNumberFormat="1" applyFont="1" applyFill="1" applyBorder="1" applyAlignment="1">
      <alignment horizontal="center" vertical="center" wrapText="1"/>
    </xf>
    <xf numFmtId="0" fontId="168" fillId="0" borderId="1" xfId="13" applyFont="1" applyFill="1" applyBorder="1" applyAlignment="1">
      <alignment vertical="center" wrapText="1"/>
    </xf>
    <xf numFmtId="170" fontId="168" fillId="0" borderId="1" xfId="13" applyNumberFormat="1" applyFont="1" applyFill="1" applyBorder="1" applyAlignment="1">
      <alignment horizontal="center" vertical="center" wrapText="1"/>
    </xf>
    <xf numFmtId="0" fontId="168" fillId="0" borderId="1" xfId="13" applyNumberFormat="1" applyFont="1" applyFill="1" applyBorder="1" applyAlignment="1">
      <alignment horizontal="center" vertical="center" wrapText="1"/>
    </xf>
    <xf numFmtId="0" fontId="191" fillId="0" borderId="1" xfId="13" applyNumberFormat="1" applyFont="1" applyFill="1" applyBorder="1" applyAlignment="1">
      <alignment horizontal="center" vertical="center" wrapText="1"/>
    </xf>
    <xf numFmtId="0" fontId="168" fillId="0" borderId="1" xfId="13" applyNumberFormat="1" applyFont="1" applyFill="1" applyBorder="1" applyAlignment="1">
      <alignment horizontal="center" vertical="center"/>
    </xf>
    <xf numFmtId="0" fontId="167" fillId="0" borderId="1" xfId="13" applyNumberFormat="1" applyFont="1" applyFill="1" applyBorder="1" applyAlignment="1">
      <alignment horizontal="center" vertical="center"/>
    </xf>
    <xf numFmtId="0" fontId="178" fillId="0" borderId="1" xfId="13" applyNumberFormat="1" applyFont="1" applyFill="1" applyBorder="1" applyAlignment="1">
      <alignment horizontal="center" vertical="center"/>
    </xf>
    <xf numFmtId="0" fontId="172" fillId="0" borderId="1" xfId="13" applyNumberFormat="1" applyFont="1" applyFill="1" applyBorder="1" applyAlignment="1">
      <alignment horizontal="center" vertical="center"/>
    </xf>
    <xf numFmtId="0" fontId="179" fillId="0" borderId="1" xfId="13" applyNumberFormat="1" applyFont="1" applyFill="1" applyBorder="1" applyAlignment="1">
      <alignment horizontal="center" vertical="center"/>
    </xf>
    <xf numFmtId="0" fontId="188" fillId="0" borderId="1" xfId="13" applyNumberFormat="1" applyFont="1" applyFill="1" applyBorder="1" applyAlignment="1">
      <alignment horizontal="center" vertical="center" wrapText="1"/>
    </xf>
    <xf numFmtId="0" fontId="167" fillId="6" borderId="1" xfId="13" applyFont="1" applyFill="1" applyBorder="1" applyAlignment="1">
      <alignment horizontal="center" vertical="center" wrapText="1"/>
    </xf>
    <xf numFmtId="0" fontId="167" fillId="6" borderId="1" xfId="13" applyFont="1" applyFill="1" applyBorder="1" applyAlignment="1">
      <alignment vertical="center" wrapText="1"/>
    </xf>
    <xf numFmtId="0" fontId="190" fillId="6" borderId="1" xfId="13" applyFont="1" applyFill="1" applyBorder="1" applyAlignment="1">
      <alignment horizontal="center" vertical="center" wrapText="1"/>
    </xf>
    <xf numFmtId="2" fontId="167" fillId="6" borderId="1" xfId="13" applyNumberFormat="1" applyFont="1" applyFill="1" applyBorder="1" applyAlignment="1">
      <alignment horizontal="center" vertical="center" wrapText="1"/>
    </xf>
    <xf numFmtId="9" fontId="167" fillId="6" borderId="1" xfId="13" applyNumberFormat="1" applyFont="1" applyFill="1" applyBorder="1" applyAlignment="1">
      <alignment horizontal="center" vertical="center" wrapText="1"/>
    </xf>
    <xf numFmtId="170" fontId="167" fillId="6" borderId="1" xfId="13" applyNumberFormat="1" applyFont="1" applyFill="1" applyBorder="1" applyAlignment="1">
      <alignment horizontal="center" vertical="center" wrapText="1"/>
    </xf>
    <xf numFmtId="1" fontId="167" fillId="6" borderId="1" xfId="13" applyNumberFormat="1" applyFont="1" applyFill="1" applyBorder="1" applyAlignment="1">
      <alignment horizontal="center" vertical="center" wrapText="1"/>
    </xf>
    <xf numFmtId="0" fontId="167" fillId="6" borderId="1" xfId="13" applyNumberFormat="1" applyFont="1" applyFill="1" applyBorder="1" applyAlignment="1">
      <alignment horizontal="center" vertical="center" wrapText="1"/>
    </xf>
    <xf numFmtId="2" fontId="178" fillId="6" borderId="1" xfId="13" applyNumberFormat="1" applyFont="1" applyFill="1" applyBorder="1" applyAlignment="1">
      <alignment horizontal="center" vertical="center" wrapText="1"/>
    </xf>
    <xf numFmtId="2" fontId="173" fillId="6" borderId="1" xfId="13" applyNumberFormat="1" applyFont="1" applyFill="1" applyBorder="1" applyAlignment="1">
      <alignment horizontal="center" vertical="center" wrapText="1"/>
    </xf>
    <xf numFmtId="2" fontId="179" fillId="6" borderId="1" xfId="13" applyNumberFormat="1" applyFont="1" applyFill="1" applyBorder="1" applyAlignment="1">
      <alignment horizontal="center" vertical="center" wrapText="1"/>
    </xf>
    <xf numFmtId="0" fontId="173" fillId="6" borderId="1" xfId="13" applyFont="1" applyFill="1" applyBorder="1" applyAlignment="1">
      <alignment horizontal="right" vertical="center"/>
    </xf>
    <xf numFmtId="2" fontId="173" fillId="6" borderId="1" xfId="13" applyNumberFormat="1" applyFont="1" applyFill="1" applyBorder="1" applyAlignment="1">
      <alignment horizontal="right" vertical="center"/>
    </xf>
    <xf numFmtId="0" fontId="167" fillId="6" borderId="1" xfId="13" applyFont="1" applyFill="1" applyBorder="1" applyAlignment="1">
      <alignment horizontal="center" vertical="center"/>
    </xf>
    <xf numFmtId="0" fontId="167" fillId="6" borderId="1" xfId="12" applyFont="1" applyFill="1" applyBorder="1" applyAlignment="1">
      <alignment horizontal="center" vertical="center" wrapText="1"/>
    </xf>
    <xf numFmtId="1" fontId="167" fillId="0" borderId="1" xfId="13" applyNumberFormat="1" applyFont="1" applyFill="1" applyBorder="1" applyAlignment="1">
      <alignment horizontal="center" vertical="center"/>
    </xf>
    <xf numFmtId="1" fontId="172" fillId="0" borderId="1" xfId="13" applyNumberFormat="1" applyFont="1" applyFill="1" applyBorder="1" applyAlignment="1">
      <alignment horizontal="center" vertical="center"/>
    </xf>
    <xf numFmtId="0" fontId="190" fillId="6" borderId="1" xfId="13" applyNumberFormat="1" applyFont="1" applyFill="1" applyBorder="1" applyAlignment="1">
      <alignment horizontal="center" vertical="center" wrapText="1"/>
    </xf>
    <xf numFmtId="0" fontId="168" fillId="6" borderId="1" xfId="13" applyFont="1" applyFill="1" applyBorder="1" applyAlignment="1">
      <alignment vertical="center"/>
    </xf>
    <xf numFmtId="0" fontId="190" fillId="6" borderId="1" xfId="13" applyFont="1" applyFill="1" applyBorder="1" applyAlignment="1">
      <alignment horizontal="center" vertical="center"/>
    </xf>
    <xf numFmtId="0" fontId="168" fillId="6" borderId="1" xfId="13" applyFont="1" applyFill="1" applyBorder="1" applyAlignment="1">
      <alignment horizontal="center" vertical="center"/>
    </xf>
    <xf numFmtId="2" fontId="168" fillId="6" borderId="1" xfId="13" applyNumberFormat="1" applyFont="1" applyFill="1" applyBorder="1" applyAlignment="1">
      <alignment horizontal="center" vertical="center"/>
    </xf>
    <xf numFmtId="9" fontId="168" fillId="0" borderId="1" xfId="13" applyNumberFormat="1" applyFont="1" applyFill="1" applyBorder="1" applyAlignment="1">
      <alignment horizontal="center" vertical="center" wrapText="1"/>
    </xf>
    <xf numFmtId="2" fontId="167" fillId="0" borderId="1" xfId="13" applyNumberFormat="1" applyFont="1" applyFill="1" applyBorder="1" applyAlignment="1">
      <alignment horizontal="center" vertical="center"/>
    </xf>
    <xf numFmtId="2" fontId="178" fillId="0" borderId="1" xfId="13" applyNumberFormat="1" applyFont="1" applyFill="1" applyBorder="1" applyAlignment="1">
      <alignment horizontal="center" vertical="center"/>
    </xf>
    <xf numFmtId="0" fontId="191" fillId="0" borderId="1" xfId="13" applyFont="1" applyFill="1" applyBorder="1" applyAlignment="1">
      <alignment horizontal="center" vertical="center"/>
    </xf>
    <xf numFmtId="0" fontId="170" fillId="0" borderId="1" xfId="13" applyFont="1" applyFill="1" applyBorder="1" applyAlignment="1">
      <alignment vertical="center" wrapText="1"/>
    </xf>
    <xf numFmtId="0" fontId="170" fillId="0" borderId="1" xfId="13" applyNumberFormat="1" applyFont="1" applyFill="1" applyBorder="1" applyAlignment="1">
      <alignment horizontal="center" vertical="center" wrapText="1"/>
    </xf>
    <xf numFmtId="0" fontId="170" fillId="0" borderId="1" xfId="13" applyFont="1" applyFill="1" applyBorder="1" applyAlignment="1">
      <alignment horizontal="center" vertical="center" wrapText="1"/>
    </xf>
    <xf numFmtId="2" fontId="170" fillId="0" borderId="1" xfId="13" applyNumberFormat="1" applyFont="1" applyFill="1" applyBorder="1" applyAlignment="1">
      <alignment horizontal="center" vertical="center" wrapText="1"/>
    </xf>
    <xf numFmtId="9" fontId="170" fillId="0" borderId="1" xfId="13" applyNumberFormat="1" applyFont="1" applyFill="1" applyBorder="1" applyAlignment="1">
      <alignment horizontal="center" vertical="center" wrapText="1"/>
    </xf>
    <xf numFmtId="0" fontId="174" fillId="0" borderId="1" xfId="13" applyFont="1" applyFill="1" applyBorder="1" applyAlignment="1">
      <alignment horizontal="right" vertical="center"/>
    </xf>
    <xf numFmtId="2" fontId="174" fillId="0" borderId="1" xfId="13" applyNumberFormat="1" applyFont="1" applyFill="1" applyBorder="1" applyAlignment="1">
      <alignment horizontal="right" vertical="center"/>
    </xf>
    <xf numFmtId="2" fontId="174" fillId="0" borderId="1" xfId="13" applyNumberFormat="1" applyFont="1" applyFill="1" applyBorder="1" applyAlignment="1">
      <alignment horizontal="center" vertical="center" wrapText="1"/>
    </xf>
    <xf numFmtId="0" fontId="167" fillId="0" borderId="1" xfId="13" applyFont="1" applyFill="1" applyBorder="1" applyAlignment="1">
      <alignment horizontal="left" vertical="center" wrapText="1"/>
    </xf>
    <xf numFmtId="0" fontId="167" fillId="9" borderId="1" xfId="13" applyFont="1" applyFill="1" applyBorder="1" applyAlignment="1">
      <alignment horizontal="center" vertical="center" wrapText="1"/>
    </xf>
    <xf numFmtId="0" fontId="167" fillId="9" borderId="1" xfId="13" applyFont="1" applyFill="1" applyBorder="1" applyAlignment="1">
      <alignment vertical="center" wrapText="1"/>
    </xf>
    <xf numFmtId="0" fontId="190" fillId="9" borderId="1" xfId="13" applyFont="1" applyFill="1" applyBorder="1" applyAlignment="1">
      <alignment horizontal="center" vertical="center" wrapText="1"/>
    </xf>
    <xf numFmtId="2" fontId="167" fillId="9" borderId="1" xfId="13" applyNumberFormat="1" applyFont="1" applyFill="1" applyBorder="1" applyAlignment="1">
      <alignment horizontal="center" vertical="center" wrapText="1"/>
    </xf>
    <xf numFmtId="9" fontId="167" fillId="9" borderId="1" xfId="13" applyNumberFormat="1" applyFont="1" applyFill="1" applyBorder="1" applyAlignment="1">
      <alignment horizontal="center" vertical="center" wrapText="1"/>
    </xf>
    <xf numFmtId="170" fontId="167" fillId="9" borderId="1" xfId="13" applyNumberFormat="1" applyFont="1" applyFill="1" applyBorder="1" applyAlignment="1">
      <alignment horizontal="center" vertical="center" wrapText="1"/>
    </xf>
    <xf numFmtId="2" fontId="178" fillId="9" borderId="1" xfId="13" applyNumberFormat="1" applyFont="1" applyFill="1" applyBorder="1" applyAlignment="1">
      <alignment horizontal="center" vertical="center" wrapText="1"/>
    </xf>
    <xf numFmtId="2" fontId="173" fillId="9" borderId="1" xfId="13" applyNumberFormat="1" applyFont="1" applyFill="1" applyBorder="1" applyAlignment="1">
      <alignment horizontal="center" vertical="center" wrapText="1"/>
    </xf>
    <xf numFmtId="2" fontId="179" fillId="9" borderId="1" xfId="13" applyNumberFormat="1" applyFont="1" applyFill="1" applyBorder="1" applyAlignment="1">
      <alignment horizontal="center" vertical="center" wrapText="1"/>
    </xf>
    <xf numFmtId="0" fontId="173" fillId="9" borderId="1" xfId="13" applyFont="1" applyFill="1" applyBorder="1" applyAlignment="1">
      <alignment horizontal="right" vertical="center"/>
    </xf>
    <xf numFmtId="2" fontId="173" fillId="9" borderId="1" xfId="13" applyNumberFormat="1" applyFont="1" applyFill="1" applyBorder="1" applyAlignment="1">
      <alignment horizontal="right" vertical="center"/>
    </xf>
    <xf numFmtId="0" fontId="182" fillId="0" borderId="0" xfId="13" applyFont="1" applyFill="1" applyBorder="1" applyAlignment="1">
      <alignment horizontal="center" vertical="center"/>
    </xf>
    <xf numFmtId="0" fontId="167" fillId="0" borderId="0" xfId="13" applyFont="1" applyFill="1" applyBorder="1" applyAlignment="1">
      <alignment vertical="center"/>
    </xf>
    <xf numFmtId="0" fontId="182" fillId="0" borderId="0" xfId="13" applyFont="1" applyFill="1" applyBorder="1" applyAlignment="1">
      <alignment vertical="center"/>
    </xf>
    <xf numFmtId="0" fontId="167" fillId="0" borderId="0" xfId="13" applyFont="1" applyFill="1" applyBorder="1" applyAlignment="1">
      <alignment horizontal="left" vertical="center"/>
    </xf>
    <xf numFmtId="170" fontId="167" fillId="0" borderId="1" xfId="13" applyNumberFormat="1" applyFont="1" applyFill="1" applyBorder="1" applyAlignment="1">
      <alignment horizontal="center" vertical="center"/>
    </xf>
    <xf numFmtId="0" fontId="49" fillId="0" borderId="1" xfId="13" applyFont="1" applyFill="1" applyBorder="1" applyAlignment="1">
      <alignment vertical="center"/>
    </xf>
    <xf numFmtId="2" fontId="49" fillId="0" borderId="1" xfId="13" applyNumberFormat="1" applyFont="1" applyFill="1" applyBorder="1" applyAlignment="1">
      <alignment horizontal="center" vertical="center"/>
    </xf>
    <xf numFmtId="3" fontId="49" fillId="0" borderId="1" xfId="13" applyNumberFormat="1" applyFont="1" applyFill="1" applyBorder="1" applyAlignment="1">
      <alignment horizontal="center" vertical="center"/>
    </xf>
    <xf numFmtId="0" fontId="49" fillId="0" borderId="0" xfId="13" applyFont="1" applyFill="1" applyAlignment="1">
      <alignment vertical="center"/>
    </xf>
    <xf numFmtId="170" fontId="49" fillId="0" borderId="1" xfId="13" applyNumberFormat="1" applyFont="1" applyFill="1" applyBorder="1" applyAlignment="1">
      <alignment horizontal="center" vertical="center"/>
    </xf>
    <xf numFmtId="1" fontId="49" fillId="0" borderId="1" xfId="13" applyNumberFormat="1" applyFont="1" applyFill="1" applyBorder="1" applyAlignment="1">
      <alignment horizontal="center" vertical="center"/>
    </xf>
    <xf numFmtId="0" fontId="71" fillId="0" borderId="0" xfId="13" applyFont="1" applyFill="1" applyBorder="1" applyAlignment="1">
      <alignment horizontal="center" vertical="center"/>
    </xf>
    <xf numFmtId="0" fontId="71" fillId="0" borderId="0" xfId="13" applyFont="1" applyFill="1" applyBorder="1" applyAlignment="1">
      <alignment vertical="center"/>
    </xf>
    <xf numFmtId="0" fontId="192" fillId="0" borderId="0" xfId="13" applyFont="1" applyFill="1" applyBorder="1" applyAlignment="1">
      <alignment horizontal="center" vertical="center"/>
    </xf>
    <xf numFmtId="0" fontId="192" fillId="0" borderId="0" xfId="13" applyFont="1" applyFill="1" applyBorder="1" applyAlignment="1">
      <alignment horizontal="left" vertical="center"/>
    </xf>
    <xf numFmtId="0" fontId="192" fillId="0" borderId="4" xfId="13" applyFont="1" applyFill="1" applyBorder="1" applyAlignment="1">
      <alignment vertical="center"/>
    </xf>
    <xf numFmtId="0" fontId="192" fillId="0" borderId="4" xfId="13" applyFont="1" applyFill="1" applyBorder="1" applyAlignment="1">
      <alignment horizontal="right" vertical="center"/>
    </xf>
    <xf numFmtId="0" fontId="192" fillId="0" borderId="0" xfId="13" applyFont="1" applyFill="1" applyBorder="1" applyAlignment="1">
      <alignment vertical="center"/>
    </xf>
    <xf numFmtId="0" fontId="192" fillId="0" borderId="0" xfId="13" applyFont="1" applyFill="1" applyBorder="1" applyAlignment="1">
      <alignment horizontal="right" vertical="center"/>
    </xf>
    <xf numFmtId="0" fontId="192" fillId="0" borderId="0" xfId="13" applyFont="1" applyFill="1" applyBorder="1" applyAlignment="1">
      <alignment horizontal="center"/>
    </xf>
    <xf numFmtId="0" fontId="192" fillId="0" borderId="0" xfId="13" applyFont="1" applyFill="1" applyBorder="1" applyAlignment="1">
      <alignment horizontal="left"/>
    </xf>
    <xf numFmtId="0" fontId="192" fillId="0" borderId="4" xfId="13" applyFont="1" applyFill="1" applyBorder="1"/>
    <xf numFmtId="0" fontId="192" fillId="0" borderId="4" xfId="13" applyFont="1" applyFill="1" applyBorder="1" applyAlignment="1">
      <alignment horizontal="right"/>
    </xf>
    <xf numFmtId="170" fontId="168" fillId="6" borderId="1" xfId="13" applyNumberFormat="1" applyFont="1" applyFill="1" applyBorder="1" applyAlignment="1">
      <alignment horizontal="center" vertical="center"/>
    </xf>
    <xf numFmtId="2" fontId="167" fillId="6" borderId="1" xfId="13" applyNumberFormat="1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 wrapText="1"/>
    </xf>
    <xf numFmtId="4" fontId="148" fillId="0" borderId="1" xfId="14" applyNumberFormat="1" applyFont="1" applyFill="1" applyBorder="1" applyAlignment="1">
      <alignment horizontal="center"/>
    </xf>
    <xf numFmtId="4" fontId="52" fillId="0" borderId="1" xfId="14" applyNumberFormat="1" applyFont="1" applyFill="1" applyBorder="1" applyAlignment="1">
      <alignment horizontal="left" wrapText="1"/>
    </xf>
    <xf numFmtId="4" fontId="48" fillId="0" borderId="1" xfId="14" applyNumberFormat="1" applyFont="1" applyFill="1" applyBorder="1"/>
    <xf numFmtId="4" fontId="48" fillId="0" borderId="1" xfId="14" applyNumberFormat="1" applyFont="1" applyFill="1" applyBorder="1" applyAlignment="1">
      <alignment vertical="center" wrapText="1"/>
    </xf>
    <xf numFmtId="4" fontId="6" fillId="0" borderId="1" xfId="14" applyNumberFormat="1" applyFont="1" applyFill="1" applyBorder="1" applyAlignment="1">
      <alignment horizontal="left"/>
    </xf>
    <xf numFmtId="4" fontId="6" fillId="0" borderId="1" xfId="14" applyNumberFormat="1" applyFont="1" applyFill="1" applyBorder="1" applyAlignment="1">
      <alignment horizontal="left" vertical="center" wrapText="1"/>
    </xf>
    <xf numFmtId="4" fontId="6" fillId="0" borderId="1" xfId="14" applyNumberFormat="1" applyFont="1" applyFill="1" applyBorder="1" applyAlignment="1">
      <alignment horizontal="center" vertical="center" wrapText="1"/>
    </xf>
    <xf numFmtId="3" fontId="6" fillId="0" borderId="1" xfId="14" applyNumberFormat="1" applyFont="1" applyFill="1" applyBorder="1" applyAlignment="1">
      <alignment horizontal="center" vertical="center" wrapText="1"/>
    </xf>
    <xf numFmtId="49" fontId="6" fillId="0" borderId="1" xfId="14" applyNumberFormat="1" applyFont="1" applyFill="1" applyBorder="1" applyAlignment="1">
      <alignment horizontal="center"/>
    </xf>
    <xf numFmtId="0" fontId="48" fillId="0" borderId="1" xfId="13" applyNumberFormat="1" applyFont="1" applyFill="1" applyBorder="1" applyAlignment="1">
      <alignment horizontal="center" vertical="center" wrapText="1"/>
    </xf>
    <xf numFmtId="3" fontId="49" fillId="12" borderId="0" xfId="14" applyNumberFormat="1" applyFont="1" applyFill="1" applyBorder="1"/>
    <xf numFmtId="0" fontId="161" fillId="0" borderId="0" xfId="14" applyFont="1" applyFill="1"/>
    <xf numFmtId="0" fontId="176" fillId="0" borderId="0" xfId="13" applyFont="1" applyFill="1" applyBorder="1" applyAlignment="1">
      <alignment horizontal="center" vertical="center"/>
    </xf>
    <xf numFmtId="0" fontId="175" fillId="0" borderId="0" xfId="13" applyFont="1" applyFill="1" applyBorder="1" applyAlignment="1">
      <alignment horizontal="center" vertical="center"/>
    </xf>
    <xf numFmtId="0" fontId="177" fillId="0" borderId="0" xfId="13" applyFont="1" applyFill="1" applyBorder="1" applyAlignment="1">
      <alignment horizontal="center" vertical="center"/>
    </xf>
    <xf numFmtId="0" fontId="175" fillId="0" borderId="0" xfId="13" applyFont="1" applyFill="1" applyBorder="1" applyAlignment="1">
      <alignment horizontal="right" vertical="center"/>
    </xf>
    <xf numFmtId="3" fontId="175" fillId="0" borderId="0" xfId="13" applyNumberFormat="1" applyFont="1" applyFill="1" applyBorder="1" applyAlignment="1">
      <alignment horizontal="center" vertical="center"/>
    </xf>
    <xf numFmtId="3" fontId="175" fillId="0" borderId="0" xfId="13" applyNumberFormat="1" applyFont="1" applyFill="1" applyBorder="1" applyAlignment="1">
      <alignment horizontal="right" vertical="center"/>
    </xf>
    <xf numFmtId="49" fontId="167" fillId="0" borderId="1" xfId="14" applyNumberFormat="1" applyFont="1" applyFill="1" applyBorder="1" applyAlignment="1">
      <alignment horizontal="right" vertical="center" wrapText="1"/>
    </xf>
    <xf numFmtId="0" fontId="193" fillId="0" borderId="0" xfId="0" applyFont="1" applyFill="1"/>
    <xf numFmtId="1" fontId="173" fillId="0" borderId="1" xfId="13" applyNumberFormat="1" applyFont="1" applyFill="1" applyBorder="1" applyAlignment="1">
      <alignment horizontal="center" vertical="center"/>
    </xf>
    <xf numFmtId="1" fontId="173" fillId="6" borderId="1" xfId="13" applyNumberFormat="1" applyFont="1" applyFill="1" applyBorder="1" applyAlignment="1">
      <alignment horizontal="center" vertical="center"/>
    </xf>
    <xf numFmtId="1" fontId="174" fillId="0" borderId="1" xfId="13" applyNumberFormat="1" applyFont="1" applyFill="1" applyBorder="1" applyAlignment="1">
      <alignment horizontal="center" vertical="center"/>
    </xf>
    <xf numFmtId="1" fontId="173" fillId="9" borderId="1" xfId="13" applyNumberFormat="1" applyFont="1" applyFill="1" applyBorder="1" applyAlignment="1">
      <alignment horizontal="center" vertical="center"/>
    </xf>
    <xf numFmtId="0" fontId="172" fillId="0" borderId="0" xfId="13" applyFont="1" applyFill="1" applyBorder="1" applyAlignment="1">
      <alignment horizontal="center" vertical="center"/>
    </xf>
    <xf numFmtId="0" fontId="180" fillId="0" borderId="0" xfId="0" applyFont="1" applyFill="1" applyBorder="1" applyAlignment="1">
      <alignment horizontal="center" vertical="center"/>
    </xf>
    <xf numFmtId="0" fontId="172" fillId="0" borderId="0" xfId="0" applyFont="1" applyFill="1" applyBorder="1" applyAlignment="1">
      <alignment horizontal="center" vertical="center"/>
    </xf>
    <xf numFmtId="0" fontId="172" fillId="0" borderId="0" xfId="0" applyFont="1" applyFill="1" applyBorder="1" applyAlignment="1">
      <alignment horizontal="right" vertical="center"/>
    </xf>
    <xf numFmtId="4" fontId="194" fillId="0" borderId="1" xfId="13" applyNumberFormat="1" applyFont="1" applyFill="1" applyBorder="1" applyAlignment="1">
      <alignment vertical="center"/>
    </xf>
    <xf numFmtId="49" fontId="194" fillId="0" borderId="1" xfId="14" applyNumberFormat="1" applyFont="1" applyFill="1" applyBorder="1" applyAlignment="1">
      <alignment horizontal="right" vertical="center" wrapText="1"/>
    </xf>
    <xf numFmtId="0" fontId="194" fillId="0" borderId="1" xfId="13" applyFont="1" applyFill="1" applyBorder="1" applyAlignment="1">
      <alignment vertical="center"/>
    </xf>
    <xf numFmtId="2" fontId="194" fillId="0" borderId="1" xfId="13" applyNumberFormat="1" applyFont="1" applyFill="1" applyBorder="1" applyAlignment="1">
      <alignment horizontal="center" vertical="center"/>
    </xf>
    <xf numFmtId="1" fontId="194" fillId="0" borderId="1" xfId="13" applyNumberFormat="1" applyFont="1" applyFill="1" applyBorder="1" applyAlignment="1">
      <alignment horizontal="center" vertical="center"/>
    </xf>
    <xf numFmtId="0" fontId="194" fillId="0" borderId="0" xfId="13" applyFont="1" applyFill="1" applyAlignment="1">
      <alignment vertical="center"/>
    </xf>
    <xf numFmtId="170" fontId="194" fillId="0" borderId="1" xfId="13" applyNumberFormat="1" applyFont="1" applyFill="1" applyBorder="1" applyAlignment="1">
      <alignment horizontal="center" vertical="center"/>
    </xf>
    <xf numFmtId="2" fontId="71" fillId="0" borderId="0" xfId="13" applyNumberFormat="1" applyFont="1" applyFill="1" applyBorder="1" applyAlignment="1">
      <alignment horizontal="center" vertical="center"/>
    </xf>
    <xf numFmtId="0" fontId="195" fillId="0" borderId="0" xfId="13" applyFont="1" applyFill="1" applyBorder="1" applyAlignment="1">
      <alignment horizontal="center" vertical="center"/>
    </xf>
    <xf numFmtId="0" fontId="196" fillId="0" borderId="0" xfId="13" applyFont="1" applyFill="1" applyBorder="1" applyAlignment="1">
      <alignment horizontal="center" vertical="center"/>
    </xf>
    <xf numFmtId="0" fontId="194" fillId="0" borderId="0" xfId="13" applyFont="1" applyFill="1" applyBorder="1" applyAlignment="1">
      <alignment horizontal="center" vertical="center"/>
    </xf>
    <xf numFmtId="0" fontId="197" fillId="0" borderId="0" xfId="0" applyFont="1" applyFill="1" applyBorder="1" applyAlignment="1">
      <alignment horizontal="center" vertical="center"/>
    </xf>
    <xf numFmtId="0" fontId="194" fillId="0" borderId="0" xfId="13" applyFont="1" applyFill="1"/>
    <xf numFmtId="3" fontId="194" fillId="0" borderId="0" xfId="13" applyNumberFormat="1" applyFont="1" applyFill="1" applyAlignment="1">
      <alignment vertical="center"/>
    </xf>
    <xf numFmtId="3" fontId="40" fillId="0" borderId="0" xfId="0" applyNumberFormat="1" applyFont="1" applyAlignment="1">
      <alignment horizontal="right"/>
    </xf>
    <xf numFmtId="3" fontId="97" fillId="0" borderId="0" xfId="0" applyNumberFormat="1" applyFont="1" applyFill="1"/>
    <xf numFmtId="3" fontId="100" fillId="0" borderId="0" xfId="0" applyNumberFormat="1" applyFont="1"/>
    <xf numFmtId="3" fontId="100" fillId="0" borderId="0" xfId="0" applyNumberFormat="1" applyFont="1" applyAlignment="1">
      <alignment horizontal="center"/>
    </xf>
    <xf numFmtId="0" fontId="199" fillId="0" borderId="0" xfId="0" applyFont="1"/>
    <xf numFmtId="0" fontId="120" fillId="0" borderId="0" xfId="6" applyFont="1"/>
    <xf numFmtId="0" fontId="33" fillId="0" borderId="1" xfId="6" applyFont="1" applyFill="1" applyBorder="1" applyAlignment="1">
      <alignment horizontal="center" wrapText="1"/>
    </xf>
    <xf numFmtId="0" fontId="6" fillId="0" borderId="1" xfId="6" applyFont="1" applyFill="1" applyBorder="1"/>
    <xf numFmtId="0" fontId="6" fillId="0" borderId="1" xfId="6" applyFont="1" applyFill="1" applyBorder="1" applyAlignment="1">
      <alignment horizontal="center"/>
    </xf>
    <xf numFmtId="0" fontId="6" fillId="0" borderId="1" xfId="6" applyFont="1" applyBorder="1"/>
    <xf numFmtId="0" fontId="6" fillId="0" borderId="1" xfId="6" applyFont="1" applyFill="1" applyBorder="1" applyAlignment="1">
      <alignment horizontal="center" vertical="center"/>
    </xf>
    <xf numFmtId="3" fontId="6" fillId="0" borderId="1" xfId="6" applyNumberFormat="1" applyFont="1" applyFill="1" applyBorder="1" applyAlignment="1">
      <alignment horizontal="center" vertical="center"/>
    </xf>
    <xf numFmtId="4" fontId="6" fillId="0" borderId="1" xfId="6" applyNumberFormat="1" applyFont="1" applyFill="1" applyBorder="1" applyAlignment="1">
      <alignment horizontal="center" vertical="center"/>
    </xf>
    <xf numFmtId="2" fontId="6" fillId="0" borderId="1" xfId="6" applyNumberFormat="1" applyFont="1" applyBorder="1" applyAlignment="1">
      <alignment horizontal="center" vertical="center"/>
    </xf>
    <xf numFmtId="3" fontId="7" fillId="0" borderId="1" xfId="6" applyNumberFormat="1" applyFont="1" applyFill="1" applyBorder="1" applyAlignment="1">
      <alignment horizontal="center" vertical="center"/>
    </xf>
    <xf numFmtId="2" fontId="95" fillId="0" borderId="1" xfId="6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left" vertical="center"/>
    </xf>
    <xf numFmtId="2" fontId="200" fillId="0" borderId="0" xfId="6" applyNumberFormat="1" applyFont="1" applyFill="1" applyAlignment="1">
      <alignment horizontal="center"/>
    </xf>
    <xf numFmtId="3" fontId="7" fillId="0" borderId="0" xfId="6" applyNumberFormat="1" applyFont="1" applyFill="1" applyBorder="1" applyAlignment="1">
      <alignment horizontal="center" vertical="center"/>
    </xf>
    <xf numFmtId="2" fontId="7" fillId="0" borderId="0" xfId="6" applyNumberFormat="1" applyFont="1" applyAlignment="1">
      <alignment horizontal="center"/>
    </xf>
    <xf numFmtId="0" fontId="7" fillId="0" borderId="0" xfId="6" applyFont="1"/>
    <xf numFmtId="3" fontId="6" fillId="0" borderId="0" xfId="6" applyNumberFormat="1" applyFont="1"/>
    <xf numFmtId="0" fontId="6" fillId="0" borderId="1" xfId="6" applyFont="1" applyBorder="1" applyAlignment="1">
      <alignment horizontal="left"/>
    </xf>
    <xf numFmtId="0" fontId="47" fillId="0" borderId="1" xfId="6" applyFont="1" applyBorder="1" applyAlignment="1">
      <alignment horizontal="left" wrapText="1"/>
    </xf>
    <xf numFmtId="0" fontId="6" fillId="0" borderId="1" xfId="6" applyFont="1" applyBorder="1" applyAlignment="1">
      <alignment horizontal="center"/>
    </xf>
    <xf numFmtId="0" fontId="7" fillId="0" borderId="1" xfId="6" applyFont="1" applyBorder="1"/>
    <xf numFmtId="0" fontId="7" fillId="0" borderId="1" xfId="6" applyFont="1" applyBorder="1" applyAlignment="1">
      <alignment horizontal="center"/>
    </xf>
    <xf numFmtId="0" fontId="7" fillId="0" borderId="1" xfId="6" applyFont="1" applyBorder="1" applyAlignment="1">
      <alignment wrapText="1"/>
    </xf>
    <xf numFmtId="170" fontId="7" fillId="0" borderId="1" xfId="6" applyNumberFormat="1" applyFont="1" applyBorder="1" applyAlignment="1">
      <alignment horizontal="center"/>
    </xf>
    <xf numFmtId="0" fontId="7" fillId="0" borderId="1" xfId="6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right"/>
    </xf>
    <xf numFmtId="0" fontId="7" fillId="0" borderId="1" xfId="6" applyFont="1" applyFill="1" applyBorder="1" applyAlignment="1">
      <alignment horizontal="right" vertical="center"/>
    </xf>
    <xf numFmtId="4" fontId="7" fillId="0" borderId="1" xfId="6" applyNumberFormat="1" applyFont="1" applyFill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/>
    </xf>
    <xf numFmtId="0" fontId="47" fillId="0" borderId="1" xfId="6" applyFont="1" applyBorder="1"/>
    <xf numFmtId="175" fontId="100" fillId="0" borderId="0" xfId="0" applyNumberFormat="1" applyFont="1"/>
    <xf numFmtId="3" fontId="33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 applyProtection="1">
      <alignment horizontal="center"/>
      <protection locked="0"/>
    </xf>
    <xf numFmtId="0" fontId="193" fillId="0" borderId="0" xfId="0" applyFont="1"/>
    <xf numFmtId="0" fontId="114" fillId="0" borderId="1" xfId="6" applyFont="1" applyFill="1" applyBorder="1" applyAlignment="1">
      <alignment horizontal="left" wrapText="1"/>
    </xf>
    <xf numFmtId="0" fontId="9" fillId="0" borderId="1" xfId="6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0" fontId="33" fillId="0" borderId="1" xfId="6" applyNumberFormat="1" applyFont="1" applyFill="1" applyBorder="1" applyAlignment="1">
      <alignment horizontal="center"/>
    </xf>
    <xf numFmtId="0" fontId="33" fillId="2" borderId="1" xfId="6" applyFont="1" applyFill="1" applyBorder="1" applyAlignment="1">
      <alignment wrapText="1"/>
    </xf>
    <xf numFmtId="0" fontId="9" fillId="2" borderId="1" xfId="6" applyFont="1" applyFill="1" applyBorder="1" applyAlignment="1">
      <alignment wrapText="1"/>
    </xf>
    <xf numFmtId="0" fontId="201" fillId="0" borderId="1" xfId="0" applyFont="1" applyBorder="1" applyAlignment="1">
      <alignment horizontal="center"/>
    </xf>
    <xf numFmtId="2" fontId="47" fillId="0" borderId="1" xfId="6" applyNumberFormat="1" applyFont="1" applyBorder="1"/>
    <xf numFmtId="0" fontId="6" fillId="0" borderId="1" xfId="6" applyFont="1" applyFill="1" applyBorder="1" applyAlignment="1">
      <alignment horizontal="right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150" fillId="0" borderId="0" xfId="2" applyAlignment="1" applyProtection="1"/>
    <xf numFmtId="0" fontId="202" fillId="0" borderId="0" xfId="0" applyFont="1"/>
    <xf numFmtId="4" fontId="47" fillId="0" borderId="1" xfId="6" applyNumberFormat="1" applyFont="1" applyBorder="1"/>
    <xf numFmtId="0" fontId="33" fillId="0" borderId="1" xfId="0" applyFont="1" applyBorder="1" applyAlignment="1">
      <alignment horizontal="left" wrapText="1"/>
    </xf>
    <xf numFmtId="0" fontId="114" fillId="0" borderId="1" xfId="0" applyFont="1" applyBorder="1" applyAlignment="1">
      <alignment horizontal="left" wrapText="1"/>
    </xf>
    <xf numFmtId="3" fontId="33" fillId="0" borderId="1" xfId="0" applyNumberFormat="1" applyFont="1" applyBorder="1" applyAlignment="1">
      <alignment horizontal="center" wrapText="1"/>
    </xf>
    <xf numFmtId="0" fontId="20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3" fontId="33" fillId="6" borderId="1" xfId="0" applyNumberFormat="1" applyFont="1" applyFill="1" applyBorder="1" applyAlignment="1">
      <alignment horizontal="center"/>
    </xf>
    <xf numFmtId="0" fontId="33" fillId="0" borderId="1" xfId="0" applyFont="1" applyBorder="1" applyAlignment="1">
      <alignment horizontal="left"/>
    </xf>
    <xf numFmtId="3" fontId="33" fillId="0" borderId="1" xfId="0" applyNumberFormat="1" applyFont="1" applyBorder="1" applyAlignment="1">
      <alignment horizontal="left"/>
    </xf>
    <xf numFmtId="3" fontId="33" fillId="0" borderId="1" xfId="0" applyNumberFormat="1" applyFont="1" applyBorder="1" applyAlignment="1">
      <alignment horizontal="center"/>
    </xf>
    <xf numFmtId="0" fontId="55" fillId="0" borderId="1" xfId="0" applyFont="1" applyBorder="1"/>
    <xf numFmtId="3" fontId="55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3" fontId="33" fillId="0" borderId="1" xfId="0" applyNumberFormat="1" applyFont="1" applyFill="1" applyBorder="1" applyAlignment="1">
      <alignment horizontal="center"/>
    </xf>
    <xf numFmtId="0" fontId="55" fillId="0" borderId="0" xfId="0" applyFont="1" applyBorder="1"/>
    <xf numFmtId="3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3" fontId="9" fillId="2" borderId="1" xfId="6" applyNumberFormat="1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/>
    </xf>
    <xf numFmtId="3" fontId="33" fillId="0" borderId="1" xfId="6" applyNumberFormat="1" applyFont="1" applyFill="1" applyBorder="1" applyAlignment="1">
      <alignment horizontal="center"/>
    </xf>
    <xf numFmtId="2" fontId="92" fillId="0" borderId="1" xfId="6" applyNumberFormat="1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wrapText="1"/>
    </xf>
    <xf numFmtId="1" fontId="101" fillId="0" borderId="1" xfId="0" applyNumberFormat="1" applyFont="1" applyBorder="1"/>
    <xf numFmtId="170" fontId="88" fillId="0" borderId="1" xfId="0" applyNumberFormat="1" applyFont="1" applyFill="1" applyBorder="1" applyAlignment="1">
      <alignment horizontal="center"/>
    </xf>
    <xf numFmtId="2" fontId="88" fillId="0" borderId="1" xfId="0" applyNumberFormat="1" applyFont="1" applyFill="1" applyBorder="1" applyAlignment="1">
      <alignment horizontal="center"/>
    </xf>
    <xf numFmtId="0" fontId="88" fillId="0" borderId="1" xfId="0" applyFont="1" applyFill="1" applyBorder="1" applyAlignment="1">
      <alignment horizontal="center" wrapText="1"/>
    </xf>
    <xf numFmtId="0" fontId="88" fillId="0" borderId="1" xfId="0" applyFont="1" applyFill="1" applyBorder="1" applyAlignment="1">
      <alignment wrapText="1"/>
    </xf>
    <xf numFmtId="4" fontId="88" fillId="0" borderId="1" xfId="0" applyNumberFormat="1" applyFont="1" applyFill="1" applyBorder="1" applyAlignment="1">
      <alignment horizontal="center"/>
    </xf>
    <xf numFmtId="1" fontId="88" fillId="0" borderId="1" xfId="0" applyNumberFormat="1" applyFont="1" applyFill="1" applyBorder="1" applyAlignment="1">
      <alignment horizontal="center"/>
    </xf>
    <xf numFmtId="1" fontId="10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10" fillId="0" borderId="0" xfId="0" applyFont="1" applyFill="1"/>
    <xf numFmtId="0" fontId="108" fillId="0" borderId="1" xfId="0" applyFont="1" applyFill="1" applyBorder="1" applyAlignment="1">
      <alignment horizontal="left" wrapText="1"/>
    </xf>
    <xf numFmtId="0" fontId="47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1" xfId="0" applyFont="1" applyFill="1" applyBorder="1" applyAlignment="1">
      <alignment horizontal="left"/>
    </xf>
    <xf numFmtId="175" fontId="7" fillId="0" borderId="1" xfId="0" applyNumberFormat="1" applyFont="1" applyFill="1" applyBorder="1" applyAlignment="1">
      <alignment horizontal="center"/>
    </xf>
    <xf numFmtId="3" fontId="43" fillId="0" borderId="1" xfId="0" applyNumberFormat="1" applyFont="1" applyFill="1" applyBorder="1" applyAlignment="1">
      <alignment horizontal="center"/>
    </xf>
    <xf numFmtId="4" fontId="43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left"/>
    </xf>
    <xf numFmtId="0" fontId="41" fillId="0" borderId="1" xfId="0" applyFont="1" applyFill="1" applyBorder="1"/>
    <xf numFmtId="3" fontId="41" fillId="0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center"/>
    </xf>
    <xf numFmtId="0" fontId="198" fillId="0" borderId="0" xfId="0" applyFont="1" applyFill="1"/>
    <xf numFmtId="0" fontId="86" fillId="0" borderId="0" xfId="0" applyFont="1" applyFill="1"/>
    <xf numFmtId="0" fontId="0" fillId="0" borderId="0" xfId="0" applyBorder="1"/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174" fontId="7" fillId="0" borderId="1" xfId="0" applyNumberFormat="1" applyFont="1" applyFill="1" applyBorder="1" applyAlignment="1">
      <alignment horizontal="center"/>
    </xf>
    <xf numFmtId="0" fontId="38" fillId="0" borderId="0" xfId="0" applyFont="1" applyFill="1" applyBorder="1"/>
    <xf numFmtId="0" fontId="204" fillId="0" borderId="0" xfId="0" applyFont="1" applyFill="1" applyBorder="1"/>
    <xf numFmtId="0" fontId="106" fillId="0" borderId="1" xfId="0" applyFont="1" applyFill="1" applyBorder="1" applyAlignment="1">
      <alignment horizontal="center" wrapText="1"/>
    </xf>
    <xf numFmtId="1" fontId="4" fillId="0" borderId="0" xfId="6" applyNumberFormat="1"/>
    <xf numFmtId="3" fontId="193" fillId="0" borderId="0" xfId="0" applyNumberFormat="1" applyFont="1"/>
    <xf numFmtId="2" fontId="205" fillId="0" borderId="0" xfId="6" applyNumberFormat="1" applyFont="1" applyFill="1" applyAlignment="1">
      <alignment horizontal="center"/>
    </xf>
    <xf numFmtId="174" fontId="100" fillId="0" borderId="0" xfId="0" applyNumberFormat="1" applyFont="1"/>
    <xf numFmtId="3" fontId="43" fillId="0" borderId="1" xfId="0" applyNumberFormat="1" applyFont="1" applyBorder="1" applyAlignment="1">
      <alignment horizontal="center"/>
    </xf>
    <xf numFmtId="0" fontId="9" fillId="0" borderId="1" xfId="6" applyFont="1" applyFill="1" applyBorder="1" applyAlignment="1">
      <alignment horizontal="center" wrapText="1"/>
    </xf>
    <xf numFmtId="3" fontId="9" fillId="0" borderId="1" xfId="6" applyNumberFormat="1" applyFont="1" applyFill="1" applyBorder="1" applyAlignment="1">
      <alignment horizontal="center" wrapText="1"/>
    </xf>
    <xf numFmtId="4" fontId="54" fillId="0" borderId="0" xfId="0" applyNumberFormat="1" applyFont="1" applyFill="1" applyAlignment="1">
      <alignment horizontal="center"/>
    </xf>
    <xf numFmtId="4" fontId="49" fillId="0" borderId="0" xfId="14" applyNumberFormat="1" applyFont="1" applyFill="1" applyBorder="1"/>
    <xf numFmtId="4" fontId="48" fillId="0" borderId="0" xfId="14" applyNumberFormat="1" applyFont="1" applyFill="1" applyBorder="1"/>
    <xf numFmtId="3" fontId="49" fillId="0" borderId="0" xfId="14" applyNumberFormat="1" applyFont="1" applyFill="1"/>
    <xf numFmtId="0" fontId="95" fillId="0" borderId="1" xfId="6" applyFont="1" applyBorder="1" applyAlignment="1">
      <alignment horizontal="left" vertical="center" wrapText="1"/>
    </xf>
    <xf numFmtId="0" fontId="95" fillId="0" borderId="1" xfId="6" applyFont="1" applyBorder="1" applyAlignment="1">
      <alignment horizontal="center" vertical="center" wrapText="1"/>
    </xf>
    <xf numFmtId="0" fontId="33" fillId="0" borderId="1" xfId="9" applyFont="1" applyBorder="1"/>
    <xf numFmtId="1" fontId="33" fillId="0" borderId="1" xfId="9" applyNumberFormat="1" applyFont="1" applyBorder="1" applyAlignment="1">
      <alignment horizontal="center"/>
    </xf>
    <xf numFmtId="0" fontId="120" fillId="0" borderId="0" xfId="9" applyFont="1"/>
    <xf numFmtId="0" fontId="24" fillId="9" borderId="1" xfId="0" applyFont="1" applyFill="1" applyBorder="1" applyAlignment="1">
      <alignment horizontal="center" vertical="center"/>
    </xf>
    <xf numFmtId="0" fontId="48" fillId="9" borderId="1" xfId="11" applyFont="1" applyFill="1" applyBorder="1" applyAlignment="1">
      <alignment horizontal="left" vertical="center" wrapText="1"/>
    </xf>
    <xf numFmtId="49" fontId="48" fillId="9" borderId="1" xfId="10" applyNumberFormat="1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 wrapText="1"/>
    </xf>
    <xf numFmtId="0" fontId="81" fillId="9" borderId="0" xfId="0" applyFont="1" applyFill="1" applyAlignment="1">
      <alignment horizontal="center" vertical="center"/>
    </xf>
    <xf numFmtId="3" fontId="206" fillId="0" borderId="0" xfId="0" applyNumberFormat="1" applyFont="1" applyFill="1" applyAlignment="1">
      <alignment horizontal="center" vertical="center"/>
    </xf>
    <xf numFmtId="0" fontId="206" fillId="0" borderId="0" xfId="0" applyFont="1" applyAlignment="1">
      <alignment horizontal="center" vertical="center"/>
    </xf>
    <xf numFmtId="0" fontId="206" fillId="9" borderId="0" xfId="0" applyFont="1" applyFill="1" applyAlignment="1">
      <alignment horizontal="center" vertical="center"/>
    </xf>
    <xf numFmtId="1" fontId="206" fillId="0" borderId="0" xfId="0" applyNumberFormat="1" applyFont="1" applyAlignment="1">
      <alignment horizontal="center" vertical="center"/>
    </xf>
    <xf numFmtId="0" fontId="206" fillId="6" borderId="0" xfId="0" applyFont="1" applyFill="1" applyAlignment="1">
      <alignment horizontal="center" vertical="center"/>
    </xf>
    <xf numFmtId="3" fontId="206" fillId="6" borderId="0" xfId="0" applyNumberFormat="1" applyFont="1" applyFill="1" applyAlignment="1">
      <alignment horizontal="center" vertical="center"/>
    </xf>
    <xf numFmtId="0" fontId="206" fillId="0" borderId="0" xfId="0" applyFont="1"/>
    <xf numFmtId="3" fontId="206" fillId="9" borderId="0" xfId="0" applyNumberFormat="1" applyFont="1" applyFill="1" applyAlignment="1">
      <alignment horizontal="center" vertical="center"/>
    </xf>
    <xf numFmtId="0" fontId="206" fillId="7" borderId="0" xfId="0" applyFont="1" applyFill="1" applyAlignment="1">
      <alignment horizontal="center" vertical="center"/>
    </xf>
    <xf numFmtId="3" fontId="206" fillId="8" borderId="0" xfId="0" applyNumberFormat="1" applyFont="1" applyFill="1" applyAlignment="1">
      <alignment horizontal="center" vertical="center"/>
    </xf>
    <xf numFmtId="0" fontId="206" fillId="8" borderId="0" xfId="0" applyFont="1" applyFill="1" applyAlignment="1">
      <alignment horizontal="center" vertical="center"/>
    </xf>
    <xf numFmtId="1" fontId="206" fillId="7" borderId="0" xfId="0" applyNumberFormat="1" applyFont="1" applyFill="1" applyAlignment="1">
      <alignment horizontal="center" vertical="center"/>
    </xf>
    <xf numFmtId="3" fontId="206" fillId="7" borderId="0" xfId="0" applyNumberFormat="1" applyFont="1" applyFill="1" applyAlignment="1">
      <alignment horizontal="center" vertical="center"/>
    </xf>
    <xf numFmtId="1" fontId="206" fillId="0" borderId="0" xfId="0" applyNumberFormat="1" applyFont="1"/>
    <xf numFmtId="3" fontId="206" fillId="0" borderId="0" xfId="0" applyNumberFormat="1" applyFont="1"/>
    <xf numFmtId="0" fontId="24" fillId="0" borderId="1" xfId="0" applyFont="1" applyBorder="1" applyAlignment="1">
      <alignment horizontal="right"/>
    </xf>
    <xf numFmtId="3" fontId="95" fillId="0" borderId="0" xfId="0" applyNumberFormat="1" applyFont="1" applyFill="1"/>
    <xf numFmtId="0" fontId="114" fillId="0" borderId="1" xfId="0" applyFont="1" applyBorder="1"/>
    <xf numFmtId="0" fontId="92" fillId="0" borderId="0" xfId="2" applyFont="1" applyAlignment="1" applyProtection="1">
      <alignment horizontal="left" wrapText="1"/>
    </xf>
    <xf numFmtId="0" fontId="92" fillId="0" borderId="1" xfId="0" applyFont="1" applyFill="1" applyBorder="1" applyAlignment="1">
      <alignment horizontal="right" vertical="center" wrapText="1"/>
    </xf>
    <xf numFmtId="0" fontId="7" fillId="0" borderId="0" xfId="6" applyFont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/>
    </xf>
    <xf numFmtId="0" fontId="9" fillId="0" borderId="1" xfId="0" quotePrefix="1" applyFont="1" applyFill="1" applyBorder="1" applyAlignment="1">
      <alignment vertical="top" wrapText="1"/>
    </xf>
    <xf numFmtId="0" fontId="33" fillId="0" borderId="1" xfId="0" applyFont="1" applyFill="1" applyBorder="1" applyAlignment="1">
      <alignment horizontal="left"/>
    </xf>
    <xf numFmtId="0" fontId="33" fillId="0" borderId="1" xfId="0" applyFont="1" applyFill="1" applyBorder="1" applyAlignment="1">
      <alignment horizontal="right"/>
    </xf>
    <xf numFmtId="2" fontId="33" fillId="0" borderId="1" xfId="0" applyNumberFormat="1" applyFont="1" applyFill="1" applyBorder="1" applyAlignment="1">
      <alignment horizontal="center" vertical="top"/>
    </xf>
    <xf numFmtId="2" fontId="3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20" fillId="0" borderId="0" xfId="0" applyFont="1" applyFill="1"/>
    <xf numFmtId="0" fontId="9" fillId="0" borderId="1" xfId="2" applyFont="1" applyFill="1" applyBorder="1" applyAlignment="1" applyProtection="1">
      <alignment horizontal="left" vertical="top" wrapText="1"/>
    </xf>
    <xf numFmtId="0" fontId="9" fillId="0" borderId="1" xfId="2" applyFont="1" applyFill="1" applyBorder="1" applyAlignment="1" applyProtection="1">
      <alignment horizontal="right" vertical="top" wrapText="1"/>
    </xf>
    <xf numFmtId="176" fontId="9" fillId="0" borderId="1" xfId="0" applyNumberFormat="1" applyFont="1" applyFill="1" applyBorder="1" applyAlignment="1">
      <alignment horizontal="center" vertical="top"/>
    </xf>
    <xf numFmtId="0" fontId="9" fillId="0" borderId="0" xfId="0" applyFont="1" applyFill="1"/>
    <xf numFmtId="4" fontId="33" fillId="0" borderId="1" xfId="0" applyNumberFormat="1" applyFont="1" applyBorder="1" applyAlignment="1">
      <alignment horizontal="center"/>
    </xf>
    <xf numFmtId="4" fontId="33" fillId="0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207" fillId="0" borderId="0" xfId="0" applyFont="1"/>
    <xf numFmtId="0" fontId="208" fillId="0" borderId="0" xfId="0" applyFont="1"/>
    <xf numFmtId="2" fontId="6" fillId="0" borderId="0" xfId="6" applyNumberFormat="1" applyFont="1" applyAlignment="1">
      <alignment vertical="center"/>
    </xf>
    <xf numFmtId="0" fontId="209" fillId="0" borderId="0" xfId="0" applyFont="1"/>
    <xf numFmtId="0" fontId="198" fillId="0" borderId="0" xfId="0" applyFont="1"/>
    <xf numFmtId="0" fontId="211" fillId="0" borderId="1" xfId="0" applyFont="1" applyBorder="1" applyAlignment="1">
      <alignment horizontal="center"/>
    </xf>
    <xf numFmtId="0" fontId="211" fillId="0" borderId="1" xfId="0" applyFont="1" applyBorder="1"/>
    <xf numFmtId="0" fontId="212" fillId="0" borderId="1" xfId="0" applyFont="1" applyBorder="1" applyAlignment="1">
      <alignment horizontal="center"/>
    </xf>
    <xf numFmtId="0" fontId="213" fillId="0" borderId="0" xfId="0" applyFont="1"/>
    <xf numFmtId="4" fontId="212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0" xfId="2" applyFont="1" applyFill="1" applyAlignment="1" applyProtection="1"/>
    <xf numFmtId="0" fontId="148" fillId="0" borderId="1" xfId="0" applyFont="1" applyBorder="1" applyAlignment="1">
      <alignment horizontal="center"/>
    </xf>
    <xf numFmtId="0" fontId="148" fillId="0" borderId="1" xfId="0" applyFont="1" applyBorder="1" applyAlignment="1">
      <alignment horizontal="left"/>
    </xf>
    <xf numFmtId="4" fontId="148" fillId="0" borderId="1" xfId="0" applyNumberFormat="1" applyFont="1" applyBorder="1" applyAlignment="1">
      <alignment horizontal="center" wrapText="1"/>
    </xf>
    <xf numFmtId="4" fontId="148" fillId="0" borderId="1" xfId="0" applyNumberFormat="1" applyFont="1" applyFill="1" applyBorder="1" applyAlignment="1">
      <alignment horizontal="center" wrapText="1"/>
    </xf>
    <xf numFmtId="0" fontId="148" fillId="9" borderId="1" xfId="0" applyFont="1" applyFill="1" applyBorder="1" applyAlignment="1">
      <alignment horizontal="center"/>
    </xf>
    <xf numFmtId="0" fontId="148" fillId="9" borderId="1" xfId="0" applyFont="1" applyFill="1" applyBorder="1" applyAlignment="1">
      <alignment horizontal="left"/>
    </xf>
    <xf numFmtId="4" fontId="148" fillId="9" borderId="1" xfId="0" applyNumberFormat="1" applyFont="1" applyFill="1" applyBorder="1" applyAlignment="1">
      <alignment horizontal="center"/>
    </xf>
    <xf numFmtId="2" fontId="148" fillId="0" borderId="1" xfId="0" applyNumberFormat="1" applyFont="1" applyBorder="1" applyAlignment="1">
      <alignment horizontal="center"/>
    </xf>
    <xf numFmtId="0" fontId="148" fillId="0" borderId="1" xfId="0" applyFont="1" applyFill="1" applyBorder="1" applyAlignment="1" applyProtection="1">
      <alignment horizontal="left"/>
    </xf>
    <xf numFmtId="0" fontId="148" fillId="0" borderId="1" xfId="0" applyFont="1" applyFill="1" applyBorder="1" applyAlignment="1">
      <alignment horizontal="left"/>
    </xf>
    <xf numFmtId="2" fontId="148" fillId="0" borderId="1" xfId="0" applyNumberFormat="1" applyFont="1" applyFill="1" applyBorder="1" applyAlignment="1">
      <alignment horizontal="center"/>
    </xf>
    <xf numFmtId="0" fontId="148" fillId="0" borderId="1" xfId="2" applyFont="1" applyBorder="1" applyAlignment="1" applyProtection="1"/>
    <xf numFmtId="0" fontId="148" fillId="0" borderId="1" xfId="0" applyFont="1" applyFill="1" applyBorder="1" applyAlignment="1" applyProtection="1">
      <alignment horizontal="center"/>
    </xf>
    <xf numFmtId="0" fontId="148" fillId="0" borderId="1" xfId="2" applyFont="1" applyBorder="1" applyAlignment="1" applyProtection="1">
      <alignment horizontal="left"/>
    </xf>
    <xf numFmtId="0" fontId="148" fillId="0" borderId="1" xfId="2" applyFont="1" applyFill="1" applyBorder="1" applyAlignment="1" applyProtection="1">
      <alignment horizontal="left"/>
    </xf>
    <xf numFmtId="2" fontId="148" fillId="0" borderId="1" xfId="0" applyNumberFormat="1" applyFont="1" applyFill="1" applyBorder="1" applyAlignment="1">
      <alignment horizontal="center" vertical="top"/>
    </xf>
    <xf numFmtId="0" fontId="148" fillId="0" borderId="1" xfId="2" applyFont="1" applyBorder="1" applyAlignment="1" applyProtection="1">
      <alignment wrapText="1"/>
    </xf>
    <xf numFmtId="0" fontId="148" fillId="0" borderId="1" xfId="2" applyFont="1" applyBorder="1" applyAlignment="1" applyProtection="1">
      <alignment horizontal="left" wrapText="1"/>
    </xf>
    <xf numFmtId="0" fontId="148" fillId="0" borderId="1" xfId="0" applyFont="1" applyFill="1" applyBorder="1" applyAlignment="1" applyProtection="1">
      <alignment horizontal="left" wrapText="1"/>
    </xf>
    <xf numFmtId="0" fontId="148" fillId="0" borderId="1" xfId="2" applyFont="1" applyFill="1" applyBorder="1" applyAlignment="1" applyProtection="1">
      <alignment horizontal="left" wrapText="1"/>
    </xf>
    <xf numFmtId="0" fontId="148" fillId="0" borderId="1" xfId="0" applyFont="1" applyBorder="1"/>
    <xf numFmtId="0" fontId="148" fillId="0" borderId="1" xfId="2" applyFont="1" applyBorder="1" applyAlignment="1" applyProtection="1">
      <alignment horizontal="center"/>
    </xf>
    <xf numFmtId="2" fontId="148" fillId="9" borderId="1" xfId="0" applyNumberFormat="1" applyFont="1" applyFill="1" applyBorder="1" applyAlignment="1">
      <alignment horizontal="center"/>
    </xf>
    <xf numFmtId="0" fontId="148" fillId="2" borderId="1" xfId="0" applyFont="1" applyFill="1" applyBorder="1" applyAlignment="1">
      <alignment horizontal="center"/>
    </xf>
    <xf numFmtId="0" fontId="148" fillId="2" borderId="1" xfId="0" applyFont="1" applyFill="1" applyBorder="1" applyAlignment="1">
      <alignment horizontal="left"/>
    </xf>
    <xf numFmtId="4" fontId="148" fillId="2" borderId="1" xfId="0" applyNumberFormat="1" applyFont="1" applyFill="1" applyBorder="1" applyAlignment="1">
      <alignment horizontal="center"/>
    </xf>
    <xf numFmtId="2" fontId="148" fillId="2" borderId="1" xfId="0" applyNumberFormat="1" applyFont="1" applyFill="1" applyBorder="1" applyAlignment="1">
      <alignment horizontal="center"/>
    </xf>
    <xf numFmtId="0" fontId="148" fillId="0" borderId="0" xfId="0" applyFont="1" applyAlignment="1">
      <alignment horizontal="center"/>
    </xf>
    <xf numFmtId="0" fontId="148" fillId="0" borderId="0" xfId="0" applyFont="1" applyAlignment="1">
      <alignment horizontal="left"/>
    </xf>
    <xf numFmtId="0" fontId="148" fillId="0" borderId="0" xfId="0" applyFont="1" applyFill="1" applyAlignment="1">
      <alignment horizontal="center"/>
    </xf>
    <xf numFmtId="0" fontId="148" fillId="0" borderId="1" xfId="2" applyFont="1" applyFill="1" applyBorder="1" applyAlignment="1" applyProtection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8" borderId="1" xfId="6" applyFont="1" applyFill="1" applyBorder="1" applyAlignment="1">
      <alignment horizontal="left" vertical="center" wrapText="1"/>
    </xf>
    <xf numFmtId="4" fontId="40" fillId="8" borderId="1" xfId="0" applyNumberFormat="1" applyFont="1" applyFill="1" applyBorder="1" applyAlignment="1">
      <alignment horizontal="center"/>
    </xf>
    <xf numFmtId="0" fontId="6" fillId="2" borderId="1" xfId="7" applyFont="1" applyFill="1" applyBorder="1" applyAlignment="1">
      <alignment horizontal="right" vertical="center" wrapText="1"/>
    </xf>
    <xf numFmtId="4" fontId="39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7" applyFont="1" applyFill="1" applyBorder="1" applyAlignment="1">
      <alignment horizontal="left" vertical="center" wrapText="1"/>
    </xf>
    <xf numFmtId="0" fontId="7" fillId="8" borderId="1" xfId="7" applyFont="1" applyFill="1" applyBorder="1" applyAlignment="1">
      <alignment vertical="center" wrapText="1"/>
    </xf>
    <xf numFmtId="0" fontId="6" fillId="9" borderId="1" xfId="7" applyFont="1" applyFill="1" applyBorder="1" applyAlignment="1">
      <alignment vertical="center" wrapText="1"/>
    </xf>
    <xf numFmtId="4" fontId="39" fillId="9" borderId="1" xfId="0" applyNumberFormat="1" applyFont="1" applyFill="1" applyBorder="1" applyAlignment="1" applyProtection="1">
      <alignment horizontal="center"/>
      <protection locked="0"/>
    </xf>
    <xf numFmtId="0" fontId="6" fillId="2" borderId="1" xfId="7" applyFont="1" applyFill="1" applyBorder="1" applyAlignment="1">
      <alignment vertical="center" wrapText="1"/>
    </xf>
    <xf numFmtId="0" fontId="22" fillId="8" borderId="1" xfId="7" applyFont="1" applyFill="1" applyBorder="1" applyAlignment="1">
      <alignment vertical="center" wrapText="1"/>
    </xf>
    <xf numFmtId="4" fontId="40" fillId="8" borderId="1" xfId="0" applyNumberFormat="1" applyFont="1" applyFill="1" applyBorder="1" applyAlignment="1" applyProtection="1">
      <alignment horizontal="center"/>
    </xf>
    <xf numFmtId="4" fontId="6" fillId="0" borderId="1" xfId="0" applyNumberFormat="1" applyFont="1" applyBorder="1" applyAlignment="1">
      <alignment horizontal="center"/>
    </xf>
    <xf numFmtId="0" fontId="22" fillId="2" borderId="1" xfId="7" applyFont="1" applyFill="1" applyBorder="1" applyAlignment="1">
      <alignment vertical="center" wrapText="1"/>
    </xf>
    <xf numFmtId="0" fontId="22" fillId="2" borderId="1" xfId="7" applyFont="1" applyFill="1" applyBorder="1" applyAlignment="1">
      <alignment vertical="center"/>
    </xf>
    <xf numFmtId="0" fontId="215" fillId="2" borderId="1" xfId="7" applyFont="1" applyFill="1" applyBorder="1" applyAlignment="1">
      <alignment vertical="center" wrapText="1"/>
    </xf>
    <xf numFmtId="0" fontId="39" fillId="2" borderId="1" xfId="7" applyFont="1" applyFill="1" applyBorder="1" applyAlignment="1">
      <alignment horizontal="left" vertical="center" wrapText="1"/>
    </xf>
    <xf numFmtId="0" fontId="7" fillId="8" borderId="1" xfId="6" applyFont="1" applyFill="1" applyBorder="1" applyAlignment="1">
      <alignment horizontal="center" vertical="center" wrapText="1"/>
    </xf>
    <xf numFmtId="0" fontId="212" fillId="0" borderId="1" xfId="0" applyFont="1" applyFill="1" applyBorder="1" applyAlignment="1">
      <alignment horizontal="center"/>
    </xf>
    <xf numFmtId="0" fontId="212" fillId="0" borderId="1" xfId="0" applyFont="1" applyFill="1" applyBorder="1"/>
    <xf numFmtId="0" fontId="214" fillId="0" borderId="0" xfId="0" applyFont="1" applyFill="1"/>
    <xf numFmtId="4" fontId="88" fillId="7" borderId="0" xfId="0" applyNumberFormat="1" applyFont="1" applyFill="1" applyBorder="1"/>
    <xf numFmtId="0" fontId="87" fillId="7" borderId="1" xfId="6" applyFont="1" applyFill="1" applyBorder="1" applyAlignment="1">
      <alignment horizontal="right" vertical="center" wrapText="1"/>
    </xf>
    <xf numFmtId="4" fontId="87" fillId="7" borderId="1" xfId="0" applyNumberFormat="1" applyFont="1" applyFill="1" applyBorder="1" applyProtection="1">
      <protection locked="0"/>
    </xf>
    <xf numFmtId="0" fontId="193" fillId="7" borderId="0" xfId="0" applyFont="1" applyFill="1"/>
    <xf numFmtId="4" fontId="102" fillId="7" borderId="0" xfId="0" applyNumberFormat="1" applyFont="1" applyFill="1" applyBorder="1"/>
    <xf numFmtId="4" fontId="103" fillId="7" borderId="1" xfId="0" applyNumberFormat="1" applyFont="1" applyFill="1" applyBorder="1" applyProtection="1">
      <protection locked="0"/>
    </xf>
    <xf numFmtId="0" fontId="0" fillId="7" borderId="0" xfId="0" applyFill="1"/>
    <xf numFmtId="0" fontId="95" fillId="0" borderId="1" xfId="0" applyFont="1" applyFill="1" applyBorder="1" applyAlignment="1">
      <alignment vertical="center" wrapText="1"/>
    </xf>
    <xf numFmtId="0" fontId="87" fillId="7" borderId="1" xfId="6" applyNumberFormat="1" applyFont="1" applyFill="1" applyBorder="1" applyAlignment="1">
      <alignment horizontal="center" vertical="center"/>
    </xf>
    <xf numFmtId="0" fontId="87" fillId="9" borderId="1" xfId="6" applyNumberFormat="1" applyFont="1" applyFill="1" applyBorder="1" applyAlignment="1">
      <alignment horizontal="center" vertical="center"/>
    </xf>
    <xf numFmtId="0" fontId="87" fillId="13" borderId="1" xfId="6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Fill="1"/>
    <xf numFmtId="3" fontId="39" fillId="0" borderId="0" xfId="0" applyNumberFormat="1" applyFont="1" applyFill="1"/>
    <xf numFmtId="0" fontId="67" fillId="0" borderId="0" xfId="0" applyFont="1" applyAlignment="1">
      <alignment vertical="center" wrapText="1"/>
    </xf>
    <xf numFmtId="0" fontId="211" fillId="0" borderId="1" xfId="0" applyFont="1" applyFill="1" applyBorder="1" applyAlignment="1">
      <alignment horizontal="center"/>
    </xf>
    <xf numFmtId="0" fontId="211" fillId="0" borderId="1" xfId="0" applyFont="1" applyFill="1" applyBorder="1"/>
    <xf numFmtId="4" fontId="212" fillId="0" borderId="1" xfId="0" applyNumberFormat="1" applyFont="1" applyFill="1" applyBorder="1" applyAlignment="1">
      <alignment horizontal="center"/>
    </xf>
    <xf numFmtId="0" fontId="213" fillId="0" borderId="0" xfId="0" applyFont="1" applyFill="1"/>
    <xf numFmtId="0" fontId="217" fillId="0" borderId="0" xfId="0" applyFont="1"/>
    <xf numFmtId="10" fontId="94" fillId="6" borderId="1" xfId="15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218" fillId="0" borderId="1" xfId="0" applyNumberFormat="1" applyFont="1" applyBorder="1" applyAlignment="1">
      <alignment horizontal="center" vertical="center"/>
    </xf>
    <xf numFmtId="3" fontId="41" fillId="0" borderId="0" xfId="0" applyNumberFormat="1" applyFont="1"/>
    <xf numFmtId="0" fontId="219" fillId="0" borderId="0" xfId="0" applyFont="1"/>
    <xf numFmtId="0" fontId="204" fillId="0" borderId="0" xfId="0" applyFont="1"/>
    <xf numFmtId="4" fontId="204" fillId="0" borderId="0" xfId="0" applyNumberFormat="1" applyFont="1"/>
    <xf numFmtId="0" fontId="216" fillId="0" borderId="0" xfId="0" applyFont="1"/>
    <xf numFmtId="0" fontId="220" fillId="0" borderId="0" xfId="0" applyFont="1"/>
    <xf numFmtId="4" fontId="39" fillId="0" borderId="0" xfId="0" applyNumberFormat="1" applyFont="1"/>
    <xf numFmtId="4" fontId="40" fillId="0" borderId="0" xfId="0" applyNumberFormat="1" applyFont="1" applyAlignment="1">
      <alignment horizontal="left"/>
    </xf>
    <xf numFmtId="0" fontId="223" fillId="0" borderId="0" xfId="0" applyFont="1"/>
    <xf numFmtId="0" fontId="9" fillId="0" borderId="1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211" fillId="0" borderId="1" xfId="0" applyFont="1" applyBorder="1" applyAlignment="1">
      <alignment horizontal="center" wrapText="1"/>
    </xf>
    <xf numFmtId="0" fontId="211" fillId="0" borderId="1" xfId="0" applyFont="1" applyBorder="1" applyAlignment="1">
      <alignment horizontal="center" vertical="top" wrapText="1"/>
    </xf>
    <xf numFmtId="0" fontId="211" fillId="0" borderId="1" xfId="0" applyFont="1" applyBorder="1" applyAlignment="1">
      <alignment wrapText="1"/>
    </xf>
    <xf numFmtId="0" fontId="55" fillId="0" borderId="1" xfId="0" applyFont="1" applyBorder="1" applyAlignment="1">
      <alignment horizontal="center" vertical="center" wrapText="1"/>
    </xf>
    <xf numFmtId="2" fontId="5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33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0" fontId="55" fillId="0" borderId="1" xfId="0" applyFont="1" applyBorder="1" applyAlignment="1">
      <alignment horizontal="left"/>
    </xf>
    <xf numFmtId="2" fontId="55" fillId="0" borderId="1" xfId="0" applyNumberFormat="1" applyFont="1" applyBorder="1" applyAlignment="1">
      <alignment horizontal="center"/>
    </xf>
    <xf numFmtId="0" fontId="21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/>
    </xf>
    <xf numFmtId="4" fontId="33" fillId="0" borderId="0" xfId="0" applyNumberFormat="1" applyFont="1" applyBorder="1" applyAlignment="1">
      <alignment horizontal="center"/>
    </xf>
    <xf numFmtId="0" fontId="9" fillId="0" borderId="1" xfId="8" applyFont="1" applyBorder="1" applyAlignment="1">
      <alignment horizontal="center" vertical="center" wrapText="1"/>
    </xf>
    <xf numFmtId="0" fontId="33" fillId="0" borderId="1" xfId="8" applyFont="1" applyBorder="1" applyAlignment="1">
      <alignment horizontal="center" vertical="center" wrapText="1"/>
    </xf>
    <xf numFmtId="0" fontId="33" fillId="0" borderId="1" xfId="8" applyFont="1" applyFill="1" applyBorder="1" applyAlignment="1">
      <alignment horizontal="center" vertical="center" wrapText="1"/>
    </xf>
    <xf numFmtId="0" fontId="33" fillId="2" borderId="1" xfId="8" applyFont="1" applyFill="1" applyBorder="1" applyAlignment="1">
      <alignment horizontal="center" vertical="center" wrapText="1"/>
    </xf>
    <xf numFmtId="4" fontId="55" fillId="0" borderId="1" xfId="0" applyNumberFormat="1" applyFont="1" applyBorder="1" applyAlignment="1">
      <alignment horizontal="center"/>
    </xf>
    <xf numFmtId="0" fontId="9" fillId="0" borderId="1" xfId="8" applyFont="1" applyFill="1" applyBorder="1" applyAlignment="1">
      <alignment horizontal="left" wrapText="1"/>
    </xf>
    <xf numFmtId="2" fontId="55" fillId="0" borderId="1" xfId="0" applyNumberFormat="1" applyFont="1" applyFill="1" applyBorder="1" applyAlignment="1">
      <alignment horizontal="center"/>
    </xf>
    <xf numFmtId="4" fontId="55" fillId="0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211" fillId="0" borderId="0" xfId="0" applyFont="1" applyBorder="1" applyAlignment="1">
      <alignment horizontal="center"/>
    </xf>
    <xf numFmtId="4" fontId="55" fillId="0" borderId="0" xfId="0" applyNumberFormat="1" applyFont="1" applyBorder="1" applyAlignment="1">
      <alignment horizontal="center" vertical="center"/>
    </xf>
    <xf numFmtId="0" fontId="211" fillId="0" borderId="0" xfId="0" applyFont="1"/>
    <xf numFmtId="0" fontId="211" fillId="0" borderId="0" xfId="0" applyFont="1" applyAlignment="1">
      <alignment horizontal="center"/>
    </xf>
    <xf numFmtId="0" fontId="212" fillId="0" borderId="1" xfId="0" applyFont="1" applyBorder="1"/>
    <xf numFmtId="0" fontId="2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212" fillId="0" borderId="0" xfId="0" applyFont="1" applyBorder="1"/>
    <xf numFmtId="0" fontId="212" fillId="0" borderId="0" xfId="0" applyFont="1" applyAlignment="1">
      <alignment horizontal="center"/>
    </xf>
    <xf numFmtId="176" fontId="55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11" fillId="0" borderId="1" xfId="0" applyFont="1" applyBorder="1" applyAlignment="1">
      <alignment horizontal="left"/>
    </xf>
    <xf numFmtId="0" fontId="211" fillId="0" borderId="0" xfId="0" applyFont="1" applyBorder="1" applyAlignment="1">
      <alignment horizontal="left"/>
    </xf>
    <xf numFmtId="0" fontId="121" fillId="0" borderId="0" xfId="2" applyFont="1" applyFill="1" applyAlignment="1" applyProtection="1">
      <alignment horizontal="left"/>
    </xf>
    <xf numFmtId="0" fontId="211" fillId="0" borderId="1" xfId="0" applyFont="1" applyBorder="1" applyAlignment="1">
      <alignment horizontal="left" wrapText="1"/>
    </xf>
    <xf numFmtId="0" fontId="210" fillId="3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left" vertical="center" wrapText="1"/>
    </xf>
    <xf numFmtId="0" fontId="211" fillId="0" borderId="1" xfId="0" applyFont="1" applyFill="1" applyBorder="1" applyAlignment="1">
      <alignment horizontal="left"/>
    </xf>
    <xf numFmtId="0" fontId="211" fillId="0" borderId="0" xfId="0" applyFont="1" applyAlignment="1">
      <alignment horizontal="left"/>
    </xf>
    <xf numFmtId="4" fontId="33" fillId="0" borderId="1" xfId="0" applyNumberFormat="1" applyFont="1" applyFill="1" applyBorder="1" applyAlignment="1">
      <alignment horizontal="center" wrapText="1"/>
    </xf>
    <xf numFmtId="0" fontId="212" fillId="0" borderId="1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/>
    </xf>
    <xf numFmtId="0" fontId="211" fillId="0" borderId="1" xfId="0" applyFont="1" applyBorder="1" applyAlignment="1">
      <alignment horizontal="center" vertical="center"/>
    </xf>
    <xf numFmtId="4" fontId="211" fillId="0" borderId="1" xfId="0" applyNumberFormat="1" applyFont="1" applyBorder="1" applyAlignment="1">
      <alignment horizontal="center"/>
    </xf>
    <xf numFmtId="4" fontId="211" fillId="0" borderId="1" xfId="0" applyNumberFormat="1" applyFont="1" applyFill="1" applyBorder="1" applyAlignment="1">
      <alignment horizontal="center"/>
    </xf>
    <xf numFmtId="0" fontId="212" fillId="0" borderId="1" xfId="0" applyFont="1" applyBorder="1" applyAlignment="1">
      <alignment horizontal="left"/>
    </xf>
    <xf numFmtId="0" fontId="55" fillId="0" borderId="1" xfId="0" applyFont="1" applyBorder="1" applyAlignment="1"/>
    <xf numFmtId="0" fontId="33" fillId="0" borderId="0" xfId="13" applyFont="1" applyFill="1" applyBorder="1" applyAlignment="1">
      <alignment vertical="center" wrapText="1"/>
    </xf>
    <xf numFmtId="4" fontId="211" fillId="0" borderId="1" xfId="0" applyNumberFormat="1" applyFont="1" applyBorder="1" applyAlignment="1">
      <alignment horizontal="center" vertical="top" wrapText="1"/>
    </xf>
    <xf numFmtId="1" fontId="212" fillId="0" borderId="1" xfId="0" applyNumberFormat="1" applyFont="1" applyBorder="1" applyAlignment="1">
      <alignment horizontal="center" wrapText="1"/>
    </xf>
    <xf numFmtId="0" fontId="212" fillId="0" borderId="1" xfId="0" applyFont="1" applyBorder="1" applyAlignment="1">
      <alignment vertical="center" wrapText="1"/>
    </xf>
    <xf numFmtId="0" fontId="224" fillId="2" borderId="1" xfId="0" applyFont="1" applyFill="1" applyBorder="1" applyAlignment="1">
      <alignment horizontal="center" vertical="center"/>
    </xf>
    <xf numFmtId="0" fontId="224" fillId="2" borderId="1" xfId="0" applyFont="1" applyFill="1" applyBorder="1" applyAlignment="1">
      <alignment vertical="center" wrapText="1"/>
    </xf>
    <xf numFmtId="0" fontId="211" fillId="0" borderId="1" xfId="0" applyFont="1" applyBorder="1" applyAlignment="1">
      <alignment horizontal="center" vertical="center" wrapText="1"/>
    </xf>
    <xf numFmtId="0" fontId="211" fillId="0" borderId="1" xfId="0" applyFont="1" applyBorder="1" applyAlignment="1">
      <alignment vertical="center" wrapText="1"/>
    </xf>
    <xf numFmtId="0" fontId="224" fillId="2" borderId="1" xfId="0" applyFont="1" applyFill="1" applyBorder="1" applyAlignment="1">
      <alignment horizontal="center" vertical="center" wrapText="1"/>
    </xf>
    <xf numFmtId="0" fontId="211" fillId="0" borderId="1" xfId="0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horizontal="left" wrapText="1"/>
    </xf>
    <xf numFmtId="0" fontId="211" fillId="0" borderId="1" xfId="0" applyFont="1" applyFill="1" applyBorder="1" applyAlignment="1">
      <alignment horizontal="center" vertical="center" wrapText="1"/>
    </xf>
    <xf numFmtId="0" fontId="224" fillId="0" borderId="1" xfId="0" applyFont="1" applyFill="1" applyBorder="1" applyAlignment="1">
      <alignment horizontal="center" vertical="center"/>
    </xf>
    <xf numFmtId="0" fontId="224" fillId="0" borderId="1" xfId="0" applyFont="1" applyFill="1" applyBorder="1" applyAlignment="1">
      <alignment horizontal="center" vertical="center" wrapText="1"/>
    </xf>
    <xf numFmtId="0" fontId="211" fillId="0" borderId="1" xfId="0" applyFont="1" applyFill="1" applyBorder="1" applyAlignment="1">
      <alignment horizontal="center" vertical="center"/>
    </xf>
    <xf numFmtId="0" fontId="211" fillId="9" borderId="1" xfId="0" applyFont="1" applyFill="1" applyBorder="1" applyAlignment="1">
      <alignment horizontal="center" vertical="center" wrapText="1"/>
    </xf>
    <xf numFmtId="0" fontId="211" fillId="9" borderId="1" xfId="0" applyFont="1" applyFill="1" applyBorder="1" applyAlignment="1">
      <alignment vertical="center" wrapText="1"/>
    </xf>
    <xf numFmtId="0" fontId="212" fillId="9" borderId="1" xfId="0" applyFont="1" applyFill="1" applyBorder="1"/>
    <xf numFmtId="0" fontId="211" fillId="9" borderId="1" xfId="0" applyFont="1" applyFill="1" applyBorder="1" applyAlignment="1">
      <alignment horizontal="center"/>
    </xf>
    <xf numFmtId="4" fontId="211" fillId="9" borderId="1" xfId="0" applyNumberFormat="1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0" fontId="223" fillId="9" borderId="0" xfId="0" applyFont="1" applyFill="1"/>
    <xf numFmtId="0" fontId="33" fillId="0" borderId="0" xfId="0" applyFont="1" applyFill="1" applyBorder="1" applyAlignment="1">
      <alignment horizontal="left" wrapText="1"/>
    </xf>
    <xf numFmtId="0" fontId="224" fillId="0" borderId="1" xfId="0" applyFont="1" applyBorder="1" applyAlignment="1">
      <alignment horizontal="center" vertical="top" wrapText="1"/>
    </xf>
    <xf numFmtId="0" fontId="224" fillId="0" borderId="1" xfId="0" applyFont="1" applyBorder="1" applyAlignment="1">
      <alignment vertical="top" wrapText="1"/>
    </xf>
    <xf numFmtId="0" fontId="33" fillId="0" borderId="1" xfId="6" applyFont="1" applyFill="1" applyBorder="1" applyAlignment="1">
      <alignment horizontal="right" vertical="center" wrapText="1"/>
    </xf>
    <xf numFmtId="1" fontId="38" fillId="0" borderId="0" xfId="0" applyNumberFormat="1" applyFont="1" applyAlignment="1">
      <alignment horizontal="center"/>
    </xf>
    <xf numFmtId="0" fontId="212" fillId="0" borderId="0" xfId="0" applyFont="1" applyAlignment="1">
      <alignment horizontal="left" wrapText="1"/>
    </xf>
    <xf numFmtId="3" fontId="166" fillId="0" borderId="0" xfId="0" applyNumberFormat="1" applyFont="1" applyFill="1"/>
    <xf numFmtId="3" fontId="6" fillId="0" borderId="1" xfId="0" applyNumberFormat="1" applyFont="1" applyFill="1" applyBorder="1" applyAlignment="1" applyProtection="1">
      <alignment horizontal="center"/>
      <protection locked="0"/>
    </xf>
    <xf numFmtId="0" fontId="87" fillId="0" borderId="0" xfId="0" applyFont="1"/>
    <xf numFmtId="0" fontId="87" fillId="0" borderId="0" xfId="0" applyFont="1" applyAlignment="1">
      <alignment horizontal="center"/>
    </xf>
    <xf numFmtId="4" fontId="87" fillId="0" borderId="0" xfId="0" applyNumberFormat="1" applyFont="1" applyAlignment="1">
      <alignment horizontal="center"/>
    </xf>
    <xf numFmtId="0" fontId="88" fillId="0" borderId="1" xfId="0" applyFont="1" applyBorder="1" applyAlignment="1">
      <alignment horizontal="right"/>
    </xf>
    <xf numFmtId="0" fontId="87" fillId="0" borderId="1" xfId="0" applyFont="1" applyBorder="1" applyAlignment="1">
      <alignment horizontal="center"/>
    </xf>
    <xf numFmtId="4" fontId="87" fillId="0" borderId="1" xfId="0" applyNumberFormat="1" applyFont="1" applyBorder="1" applyAlignment="1">
      <alignment horizontal="center" wrapText="1"/>
    </xf>
    <xf numFmtId="0" fontId="88" fillId="0" borderId="1" xfId="0" applyFont="1" applyBorder="1" applyAlignment="1"/>
    <xf numFmtId="0" fontId="88" fillId="0" borderId="1" xfId="0" applyFont="1" applyBorder="1" applyAlignment="1">
      <alignment horizontal="center"/>
    </xf>
    <xf numFmtId="0" fontId="6" fillId="9" borderId="1" xfId="0" applyFont="1" applyFill="1" applyBorder="1" applyAlignment="1"/>
    <xf numFmtId="4" fontId="6" fillId="9" borderId="1" xfId="0" applyNumberFormat="1" applyFont="1" applyFill="1" applyBorder="1" applyAlignment="1">
      <alignment horizontal="center"/>
    </xf>
    <xf numFmtId="4" fontId="7" fillId="9" borderId="1" xfId="0" applyNumberFormat="1" applyFont="1" applyFill="1" applyBorder="1" applyAlignment="1">
      <alignment horizontal="center"/>
    </xf>
    <xf numFmtId="0" fontId="87" fillId="0" borderId="1" xfId="0" applyFont="1" applyBorder="1" applyAlignment="1">
      <alignment horizontal="left" wrapText="1"/>
    </xf>
    <xf numFmtId="4" fontId="87" fillId="0" borderId="1" xfId="0" applyNumberFormat="1" applyFont="1" applyBorder="1" applyAlignment="1">
      <alignment horizontal="center"/>
    </xf>
    <xf numFmtId="4" fontId="87" fillId="0" borderId="1" xfId="0" applyNumberFormat="1" applyFont="1" applyFill="1" applyBorder="1" applyAlignment="1">
      <alignment horizontal="center"/>
    </xf>
    <xf numFmtId="0" fontId="87" fillId="0" borderId="1" xfId="2" applyFont="1" applyBorder="1" applyAlignment="1" applyProtection="1"/>
    <xf numFmtId="0" fontId="87" fillId="0" borderId="1" xfId="0" applyFont="1" applyFill="1" applyBorder="1" applyAlignment="1">
      <alignment horizontal="left"/>
    </xf>
    <xf numFmtId="4" fontId="88" fillId="0" borderId="1" xfId="0" applyNumberFormat="1" applyFont="1" applyBorder="1" applyAlignment="1">
      <alignment horizontal="center"/>
    </xf>
    <xf numFmtId="0" fontId="7" fillId="9" borderId="1" xfId="0" applyFont="1" applyFill="1" applyBorder="1" applyAlignment="1"/>
    <xf numFmtId="2" fontId="87" fillId="0" borderId="1" xfId="0" applyNumberFormat="1" applyFont="1" applyBorder="1" applyAlignment="1">
      <alignment horizontal="center"/>
    </xf>
    <xf numFmtId="0" fontId="87" fillId="0" borderId="1" xfId="0" applyFont="1" applyBorder="1"/>
    <xf numFmtId="0" fontId="225" fillId="0" borderId="0" xfId="0" applyFont="1"/>
    <xf numFmtId="0" fontId="125" fillId="0" borderId="0" xfId="0" applyFont="1" applyAlignment="1">
      <alignment horizontal="left"/>
    </xf>
    <xf numFmtId="0" fontId="125" fillId="0" borderId="1" xfId="0" applyFont="1" applyBorder="1" applyAlignment="1">
      <alignment horizontal="left"/>
    </xf>
    <xf numFmtId="0" fontId="125" fillId="9" borderId="1" xfId="0" applyFont="1" applyFill="1" applyBorder="1" applyAlignment="1">
      <alignment horizontal="left"/>
    </xf>
    <xf numFmtId="0" fontId="125" fillId="0" borderId="1" xfId="2" applyFont="1" applyBorder="1" applyAlignment="1" applyProtection="1">
      <alignment horizontal="left" wrapText="1"/>
    </xf>
    <xf numFmtId="0" fontId="125" fillId="0" borderId="1" xfId="2" applyFont="1" applyBorder="1" applyAlignment="1" applyProtection="1">
      <alignment horizontal="left"/>
    </xf>
    <xf numFmtId="0" fontId="125" fillId="0" borderId="1" xfId="2" applyFont="1" applyBorder="1" applyAlignment="1" applyProtection="1"/>
    <xf numFmtId="0" fontId="125" fillId="0" borderId="1" xfId="2" applyFont="1" applyFill="1" applyBorder="1" applyAlignment="1" applyProtection="1">
      <alignment horizontal="left"/>
    </xf>
    <xf numFmtId="0" fontId="125" fillId="0" borderId="1" xfId="2" applyFont="1" applyFill="1" applyBorder="1" applyAlignment="1" applyProtection="1">
      <alignment horizontal="left" wrapText="1"/>
    </xf>
    <xf numFmtId="0" fontId="125" fillId="0" borderId="1" xfId="0" applyFont="1" applyBorder="1"/>
    <xf numFmtId="0" fontId="125" fillId="0" borderId="1" xfId="2" applyFont="1" applyBorder="1" applyAlignment="1" applyProtection="1">
      <alignment wrapText="1"/>
    </xf>
    <xf numFmtId="0" fontId="212" fillId="0" borderId="0" xfId="0" applyFont="1"/>
    <xf numFmtId="1" fontId="9" fillId="2" borderId="1" xfId="0" applyNumberFormat="1" applyFont="1" applyFill="1" applyBorder="1" applyAlignment="1">
      <alignment horizontal="center" vertical="center"/>
    </xf>
    <xf numFmtId="1" fontId="211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211" fillId="0" borderId="1" xfId="0" applyNumberFormat="1" applyFont="1" applyBorder="1" applyAlignment="1">
      <alignment horizontal="center" vertical="center"/>
    </xf>
    <xf numFmtId="4" fontId="224" fillId="0" borderId="1" xfId="0" applyNumberFormat="1" applyFont="1" applyBorder="1" applyAlignment="1">
      <alignment horizontal="center" vertical="top" wrapText="1"/>
    </xf>
    <xf numFmtId="0" fontId="118" fillId="0" borderId="1" xfId="0" applyFont="1" applyBorder="1" applyAlignment="1">
      <alignment horizontal="left"/>
    </xf>
    <xf numFmtId="4" fontId="212" fillId="0" borderId="0" xfId="0" applyNumberFormat="1" applyFont="1" applyAlignment="1">
      <alignment horizontal="center"/>
    </xf>
    <xf numFmtId="4" fontId="33" fillId="9" borderId="1" xfId="0" applyNumberFormat="1" applyFont="1" applyFill="1" applyBorder="1" applyAlignment="1">
      <alignment horizontal="center"/>
    </xf>
    <xf numFmtId="0" fontId="6" fillId="0" borderId="0" xfId="6" applyFont="1" applyFill="1" applyAlignment="1">
      <alignment vertical="center"/>
    </xf>
    <xf numFmtId="3" fontId="7" fillId="0" borderId="0" xfId="6" applyNumberFormat="1" applyFont="1" applyAlignment="1">
      <alignment vertical="center"/>
    </xf>
    <xf numFmtId="0" fontId="148" fillId="7" borderId="1" xfId="0" applyFont="1" applyFill="1" applyBorder="1" applyAlignment="1">
      <alignment horizontal="left"/>
    </xf>
    <xf numFmtId="0" fontId="148" fillId="7" borderId="1" xfId="0" applyFont="1" applyFill="1" applyBorder="1" applyAlignment="1">
      <alignment horizontal="center"/>
    </xf>
    <xf numFmtId="2" fontId="148" fillId="7" borderId="1" xfId="0" applyNumberFormat="1" applyFont="1" applyFill="1" applyBorder="1" applyAlignment="1">
      <alignment horizontal="center"/>
    </xf>
    <xf numFmtId="0" fontId="17" fillId="12" borderId="1" xfId="0" applyFont="1" applyFill="1" applyBorder="1" applyAlignment="1">
      <alignment wrapText="1"/>
    </xf>
    <xf numFmtId="0" fontId="148" fillId="12" borderId="1" xfId="0" applyFont="1" applyFill="1" applyBorder="1" applyAlignment="1">
      <alignment horizontal="left"/>
    </xf>
    <xf numFmtId="0" fontId="148" fillId="12" borderId="1" xfId="0" applyFont="1" applyFill="1" applyBorder="1" applyAlignment="1">
      <alignment horizontal="center"/>
    </xf>
    <xf numFmtId="2" fontId="148" fillId="12" borderId="1" xfId="0" applyNumberFormat="1" applyFont="1" applyFill="1" applyBorder="1" applyAlignment="1">
      <alignment horizontal="center"/>
    </xf>
    <xf numFmtId="0" fontId="0" fillId="12" borderId="0" xfId="0" applyFill="1"/>
    <xf numFmtId="4" fontId="14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1" fontId="33" fillId="0" borderId="1" xfId="0" applyNumberFormat="1" applyFont="1" applyBorder="1" applyAlignment="1">
      <alignment horizontal="center" wrapText="1"/>
    </xf>
    <xf numFmtId="0" fontId="223" fillId="9" borderId="1" xfId="0" applyFont="1" applyFill="1" applyBorder="1" applyAlignment="1">
      <alignment horizontal="center"/>
    </xf>
    <xf numFmtId="4" fontId="0" fillId="0" borderId="0" xfId="0" applyNumberFormat="1"/>
    <xf numFmtId="0" fontId="7" fillId="0" borderId="0" xfId="6" applyFont="1" applyFill="1" applyAlignment="1">
      <alignment vertical="center"/>
    </xf>
    <xf numFmtId="3" fontId="91" fillId="0" borderId="0" xfId="0" applyNumberFormat="1" applyFont="1" applyAlignment="1">
      <alignment horizontal="center"/>
    </xf>
    <xf numFmtId="3" fontId="12" fillId="0" borderId="0" xfId="0" applyNumberFormat="1" applyFont="1"/>
    <xf numFmtId="4" fontId="7" fillId="0" borderId="0" xfId="6" applyNumberFormat="1" applyFont="1" applyAlignment="1">
      <alignment vertical="center"/>
    </xf>
    <xf numFmtId="3" fontId="6" fillId="0" borderId="0" xfId="6" applyNumberFormat="1" applyFont="1" applyAlignment="1">
      <alignment vertical="center"/>
    </xf>
    <xf numFmtId="3" fontId="102" fillId="0" borderId="1" xfId="0" applyNumberFormat="1" applyFont="1" applyBorder="1" applyAlignment="1">
      <alignment horizontal="right"/>
    </xf>
    <xf numFmtId="0" fontId="107" fillId="0" borderId="1" xfId="0" applyFont="1" applyBorder="1" applyAlignment="1">
      <alignment horizontal="right"/>
    </xf>
    <xf numFmtId="3" fontId="102" fillId="8" borderId="1" xfId="0" quotePrefix="1" applyNumberFormat="1" applyFont="1" applyFill="1" applyBorder="1" applyAlignment="1">
      <alignment horizontal="right"/>
    </xf>
    <xf numFmtId="3" fontId="102" fillId="8" borderId="1" xfId="0" applyNumberFormat="1" applyFont="1" applyFill="1" applyBorder="1" applyAlignment="1">
      <alignment horizontal="right"/>
    </xf>
    <xf numFmtId="3" fontId="102" fillId="2" borderId="1" xfId="0" applyNumberFormat="1" applyFont="1" applyFill="1" applyBorder="1" applyAlignment="1">
      <alignment horizontal="right"/>
    </xf>
    <xf numFmtId="0" fontId="101" fillId="0" borderId="1" xfId="0" applyFont="1" applyBorder="1" applyAlignment="1">
      <alignment horizontal="right"/>
    </xf>
    <xf numFmtId="0" fontId="101" fillId="0" borderId="0" xfId="0" applyFont="1" applyAlignment="1">
      <alignment horizontal="right"/>
    </xf>
    <xf numFmtId="0" fontId="221" fillId="0" borderId="1" xfId="6" applyNumberFormat="1" applyFont="1" applyFill="1" applyBorder="1" applyAlignment="1">
      <alignment horizontal="right" vertical="center"/>
    </xf>
    <xf numFmtId="3" fontId="221" fillId="0" borderId="0" xfId="0" applyNumberFormat="1" applyFont="1" applyAlignment="1">
      <alignment horizontal="right"/>
    </xf>
    <xf numFmtId="3" fontId="111" fillId="0" borderId="1" xfId="0" applyNumberFormat="1" applyFont="1" applyBorder="1" applyAlignment="1">
      <alignment horizontal="center"/>
    </xf>
    <xf numFmtId="1" fontId="92" fillId="0" borderId="0" xfId="0" applyNumberFormat="1" applyFont="1" applyFill="1"/>
    <xf numFmtId="3" fontId="7" fillId="9" borderId="1" xfId="0" applyNumberFormat="1" applyFont="1" applyFill="1" applyBorder="1" applyAlignment="1">
      <alignment horizontal="center"/>
    </xf>
    <xf numFmtId="3" fontId="87" fillId="0" borderId="1" xfId="0" applyNumberFormat="1" applyFont="1" applyBorder="1" applyAlignment="1">
      <alignment horizontal="center"/>
    </xf>
    <xf numFmtId="3" fontId="88" fillId="0" borderId="1" xfId="0" applyNumberFormat="1" applyFont="1" applyBorder="1" applyAlignment="1">
      <alignment horizontal="center"/>
    </xf>
    <xf numFmtId="165" fontId="221" fillId="0" borderId="0" xfId="0" applyNumberFormat="1" applyFont="1" applyAlignment="1">
      <alignment horizontal="right"/>
    </xf>
    <xf numFmtId="165" fontId="101" fillId="0" borderId="0" xfId="0" applyNumberFormat="1" applyFont="1"/>
    <xf numFmtId="0" fontId="226" fillId="0" borderId="0" xfId="0" applyFont="1" applyBorder="1" applyAlignment="1">
      <alignment horizontal="right" indent="1"/>
    </xf>
    <xf numFmtId="0" fontId="226" fillId="0" borderId="0" xfId="0" applyFont="1" applyBorder="1" applyAlignment="1">
      <alignment horizontal="left" wrapText="1" indent="1"/>
    </xf>
    <xf numFmtId="0" fontId="227" fillId="0" borderId="0" xfId="0" applyFont="1" applyBorder="1" applyAlignment="1">
      <alignment horizontal="right" indent="1"/>
    </xf>
    <xf numFmtId="0" fontId="227" fillId="0" borderId="0" xfId="0" applyFont="1" applyBorder="1" applyAlignment="1">
      <alignment horizontal="left" wrapText="1" indent="1"/>
    </xf>
    <xf numFmtId="0" fontId="211" fillId="0" borderId="1" xfId="0" applyFont="1" applyBorder="1" applyAlignment="1">
      <alignment vertical="top" wrapText="1"/>
    </xf>
    <xf numFmtId="3" fontId="211" fillId="0" borderId="1" xfId="0" applyNumberFormat="1" applyFont="1" applyBorder="1" applyAlignment="1">
      <alignment horizontal="center" vertical="top" wrapText="1"/>
    </xf>
    <xf numFmtId="4" fontId="212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39" fillId="0" borderId="0" xfId="0" applyFont="1" applyFill="1"/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40" fillId="0" borderId="0" xfId="0" applyNumberFormat="1" applyFont="1" applyFill="1" applyAlignment="1">
      <alignment horizontal="left"/>
    </xf>
    <xf numFmtId="4" fontId="39" fillId="0" borderId="0" xfId="0" applyNumberFormat="1" applyFont="1" applyFill="1"/>
    <xf numFmtId="0" fontId="40" fillId="0" borderId="0" xfId="0" applyFont="1" applyFill="1" applyAlignment="1">
      <alignment horizontal="left"/>
    </xf>
    <xf numFmtId="0" fontId="25" fillId="0" borderId="1" xfId="0" applyFont="1" applyFill="1" applyBorder="1" applyAlignment="1">
      <alignment horizontal="center" vertical="center"/>
    </xf>
    <xf numFmtId="0" fontId="54" fillId="0" borderId="1" xfId="6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0" fontId="20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54" fillId="0" borderId="1" xfId="0" applyFont="1" applyFill="1" applyBorder="1" applyAlignment="1">
      <alignment horizontal="right" vertical="center" wrapText="1"/>
    </xf>
    <xf numFmtId="0" fontId="49" fillId="0" borderId="1" xfId="11" applyFont="1" applyFill="1" applyBorder="1" applyAlignment="1">
      <alignment horizontal="left" vertical="center" wrapText="1"/>
    </xf>
    <xf numFmtId="1" fontId="20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" xfId="1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92" fillId="0" borderId="1" xfId="0" applyFont="1" applyFill="1" applyBorder="1" applyAlignment="1">
      <alignment horizontal="left" vertical="center"/>
    </xf>
    <xf numFmtId="0" fontId="87" fillId="0" borderId="1" xfId="0" applyFont="1" applyFill="1" applyBorder="1" applyAlignment="1">
      <alignment horizontal="center" vertical="center" wrapText="1"/>
    </xf>
    <xf numFmtId="179" fontId="31" fillId="0" borderId="0" xfId="0" applyNumberFormat="1" applyFont="1" applyFill="1"/>
    <xf numFmtId="175" fontId="54" fillId="9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Border="1" applyAlignment="1">
      <alignment horizontal="center"/>
    </xf>
    <xf numFmtId="4" fontId="87" fillId="6" borderId="1" xfId="0" applyNumberFormat="1" applyFont="1" applyFill="1" applyBorder="1" applyAlignment="1">
      <alignment horizontal="center" wrapText="1"/>
    </xf>
    <xf numFmtId="0" fontId="88" fillId="6" borderId="1" xfId="0" applyFont="1" applyFill="1" applyBorder="1" applyAlignment="1">
      <alignment horizontal="center"/>
    </xf>
    <xf numFmtId="4" fontId="87" fillId="9" borderId="1" xfId="0" applyNumberFormat="1" applyFont="1" applyFill="1" applyBorder="1" applyAlignment="1">
      <alignment horizontal="center" wrapText="1"/>
    </xf>
    <xf numFmtId="0" fontId="88" fillId="9" borderId="1" xfId="0" applyFont="1" applyFill="1" applyBorder="1" applyAlignment="1">
      <alignment horizontal="center"/>
    </xf>
    <xf numFmtId="1" fontId="151" fillId="0" borderId="0" xfId="0" applyNumberFormat="1" applyFont="1"/>
    <xf numFmtId="0" fontId="5" fillId="0" borderId="0" xfId="6" applyFont="1" applyBorder="1"/>
    <xf numFmtId="0" fontId="5" fillId="0" borderId="0" xfId="6" applyFont="1"/>
    <xf numFmtId="0" fontId="5" fillId="0" borderId="0" xfId="6" applyFont="1" applyBorder="1" applyAlignment="1">
      <alignment horizontal="center" vertical="center"/>
    </xf>
    <xf numFmtId="0" fontId="5" fillId="0" borderId="0" xfId="6" applyFont="1" applyBorder="1" applyAlignment="1">
      <alignment horizontal="center"/>
    </xf>
    <xf numFmtId="0" fontId="5" fillId="0" borderId="0" xfId="6" applyFont="1" applyAlignment="1">
      <alignment horizontal="center" vertical="center"/>
    </xf>
    <xf numFmtId="0" fontId="5" fillId="0" borderId="5" xfId="6" applyFont="1" applyBorder="1" applyAlignment="1">
      <alignment horizontal="center"/>
    </xf>
    <xf numFmtId="0" fontId="17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17" fillId="0" borderId="1" xfId="6" applyFont="1" applyBorder="1" applyAlignment="1">
      <alignment vertical="center"/>
    </xf>
    <xf numFmtId="0" fontId="5" fillId="0" borderId="1" xfId="6" applyFont="1" applyBorder="1" applyAlignment="1">
      <alignment horizontal="left" vertical="center" wrapText="1"/>
    </xf>
    <xf numFmtId="49" fontId="5" fillId="0" borderId="1" xfId="6" applyNumberFormat="1" applyFont="1" applyBorder="1" applyAlignment="1">
      <alignment horizontal="center" vertical="center"/>
    </xf>
    <xf numFmtId="0" fontId="5" fillId="0" borderId="1" xfId="6" applyFont="1" applyBorder="1" applyAlignment="1">
      <alignment vertical="center"/>
    </xf>
    <xf numFmtId="0" fontId="5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vertical="center" wrapText="1"/>
    </xf>
    <xf numFmtId="0" fontId="17" fillId="0" borderId="0" xfId="6" applyFont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 shrinkToFit="1"/>
    </xf>
    <xf numFmtId="4" fontId="17" fillId="0" borderId="1" xfId="6" applyNumberFormat="1" applyFont="1" applyBorder="1" applyAlignment="1">
      <alignment horizontal="left" vertical="center" wrapText="1"/>
    </xf>
    <xf numFmtId="3" fontId="17" fillId="0" borderId="1" xfId="6" quotePrefix="1" applyNumberFormat="1" applyFont="1" applyBorder="1" applyAlignment="1">
      <alignment horizontal="center" vertical="center"/>
    </xf>
    <xf numFmtId="4" fontId="17" fillId="6" borderId="1" xfId="6" applyNumberFormat="1" applyFont="1" applyFill="1" applyBorder="1" applyAlignment="1">
      <alignment horizontal="center" vertical="center" wrapText="1"/>
    </xf>
    <xf numFmtId="3" fontId="17" fillId="6" borderId="1" xfId="6" applyNumberFormat="1" applyFont="1" applyFill="1" applyBorder="1" applyAlignment="1">
      <alignment horizontal="center" vertical="center" wrapText="1"/>
    </xf>
    <xf numFmtId="3" fontId="17" fillId="0" borderId="1" xfId="6" applyNumberFormat="1" applyFont="1" applyBorder="1" applyAlignment="1">
      <alignment horizontal="center" vertical="center" wrapText="1"/>
    </xf>
    <xf numFmtId="4" fontId="17" fillId="0" borderId="1" xfId="6" applyNumberFormat="1" applyFont="1" applyBorder="1" applyAlignment="1">
      <alignment horizontal="center" vertical="center" wrapText="1"/>
    </xf>
    <xf numFmtId="4" fontId="5" fillId="0" borderId="1" xfId="6" applyNumberFormat="1" applyFont="1" applyBorder="1" applyAlignment="1">
      <alignment horizontal="left" vertical="center" wrapText="1" indent="2"/>
    </xf>
    <xf numFmtId="3" fontId="5" fillId="0" borderId="1" xfId="6" quotePrefix="1" applyNumberFormat="1" applyFont="1" applyBorder="1" applyAlignment="1">
      <alignment horizontal="center" vertical="center"/>
    </xf>
    <xf numFmtId="4" fontId="5" fillId="6" borderId="1" xfId="6" applyNumberFormat="1" applyFont="1" applyFill="1" applyBorder="1" applyAlignment="1">
      <alignment horizontal="center" vertical="center" wrapText="1"/>
    </xf>
    <xf numFmtId="3" fontId="5" fillId="6" borderId="1" xfId="6" applyNumberFormat="1" applyFont="1" applyFill="1" applyBorder="1" applyAlignment="1">
      <alignment horizontal="center" vertical="center" wrapText="1"/>
    </xf>
    <xf numFmtId="3" fontId="5" fillId="0" borderId="1" xfId="6" applyNumberFormat="1" applyFont="1" applyBorder="1" applyAlignment="1">
      <alignment horizontal="center" vertical="center" wrapText="1"/>
    </xf>
    <xf numFmtId="3" fontId="5" fillId="0" borderId="1" xfId="6" applyNumberFormat="1" applyFont="1" applyBorder="1" applyAlignment="1">
      <alignment horizontal="center" vertical="center"/>
    </xf>
    <xf numFmtId="4" fontId="5" fillId="0" borderId="1" xfId="6" applyNumberFormat="1" applyFont="1" applyFill="1" applyBorder="1" applyAlignment="1">
      <alignment horizontal="left" vertical="center" wrapText="1" indent="2"/>
    </xf>
    <xf numFmtId="3" fontId="5" fillId="0" borderId="1" xfId="6" applyNumberFormat="1" applyFont="1" applyFill="1" applyBorder="1" applyAlignment="1">
      <alignment horizontal="center" vertical="center"/>
    </xf>
    <xf numFmtId="4" fontId="5" fillId="0" borderId="1" xfId="6" applyNumberFormat="1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>
      <alignment horizontal="center" vertical="center" wrapText="1"/>
    </xf>
    <xf numFmtId="4" fontId="17" fillId="0" borderId="1" xfId="6" applyNumberFormat="1" applyFont="1" applyFill="1" applyBorder="1" applyAlignment="1">
      <alignment horizontal="left" vertical="center" wrapText="1"/>
    </xf>
    <xf numFmtId="3" fontId="17" fillId="0" borderId="1" xfId="6" applyNumberFormat="1" applyFont="1" applyFill="1" applyBorder="1" applyAlignment="1">
      <alignment horizontal="center" vertical="center"/>
    </xf>
    <xf numFmtId="4" fontId="17" fillId="0" borderId="1" xfId="6" applyNumberFormat="1" applyFont="1" applyFill="1" applyBorder="1" applyAlignment="1">
      <alignment horizontal="center" vertical="center" wrapText="1"/>
    </xf>
    <xf numFmtId="3" fontId="17" fillId="0" borderId="1" xfId="6" applyNumberFormat="1" applyFont="1" applyFill="1" applyBorder="1" applyAlignment="1">
      <alignment horizontal="center" vertical="center" wrapText="1"/>
    </xf>
    <xf numFmtId="3" fontId="17" fillId="0" borderId="1" xfId="6" applyNumberFormat="1" applyFont="1" applyBorder="1" applyAlignment="1">
      <alignment horizontal="center" vertical="center"/>
    </xf>
    <xf numFmtId="4" fontId="17" fillId="0" borderId="1" xfId="6" applyNumberFormat="1" applyFont="1" applyBorder="1" applyAlignment="1">
      <alignment vertical="center"/>
    </xf>
    <xf numFmtId="4" fontId="17" fillId="0" borderId="1" xfId="6" applyNumberFormat="1" applyFont="1" applyBorder="1" applyAlignment="1">
      <alignment horizontal="left" vertical="center" wrapText="1" indent="2"/>
    </xf>
    <xf numFmtId="4" fontId="17" fillId="2" borderId="1" xfId="6" applyNumberFormat="1" applyFont="1" applyFill="1" applyBorder="1" applyAlignment="1">
      <alignment horizontal="left" vertical="center" wrapText="1"/>
    </xf>
    <xf numFmtId="4" fontId="5" fillId="0" borderId="1" xfId="6" applyNumberFormat="1" applyFont="1" applyBorder="1" applyAlignment="1">
      <alignment horizontal="left" vertical="center" wrapText="1"/>
    </xf>
    <xf numFmtId="3" fontId="5" fillId="6" borderId="1" xfId="15" applyNumberFormat="1" applyFont="1" applyFill="1" applyBorder="1" applyAlignment="1">
      <alignment horizontal="center" vertical="center" wrapText="1"/>
    </xf>
    <xf numFmtId="0" fontId="5" fillId="0" borderId="1" xfId="6" quotePrefix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 indent="2"/>
    </xf>
    <xf numFmtId="0" fontId="5" fillId="0" borderId="1" xfId="6" quotePrefix="1" applyFont="1" applyBorder="1" applyAlignment="1">
      <alignment horizontal="center" vertical="center"/>
    </xf>
    <xf numFmtId="4" fontId="5" fillId="0" borderId="1" xfId="6" applyNumberFormat="1" applyFont="1" applyBorder="1" applyAlignment="1">
      <alignment horizontal="center" vertical="center" wrapText="1"/>
    </xf>
    <xf numFmtId="0" fontId="17" fillId="0" borderId="1" xfId="6" quotePrefix="1" applyFont="1" applyBorder="1" applyAlignment="1">
      <alignment horizontal="center" vertical="center"/>
    </xf>
    <xf numFmtId="0" fontId="5" fillId="0" borderId="0" xfId="6" applyFont="1" applyAlignment="1">
      <alignment horizontal="left" vertical="center" wrapText="1"/>
    </xf>
    <xf numFmtId="0" fontId="5" fillId="0" borderId="0" xfId="6" quotePrefix="1" applyFont="1" applyAlignment="1">
      <alignment horizontal="center" vertical="center"/>
    </xf>
    <xf numFmtId="164" fontId="5" fillId="0" borderId="0" xfId="6" applyNumberFormat="1" applyFont="1" applyAlignment="1">
      <alignment horizontal="center" vertical="center" wrapText="1"/>
    </xf>
    <xf numFmtId="165" fontId="5" fillId="0" borderId="0" xfId="6" applyNumberFormat="1" applyFont="1" applyAlignment="1">
      <alignment horizontal="center" vertical="center" wrapText="1"/>
    </xf>
    <xf numFmtId="165" fontId="5" fillId="0" borderId="0" xfId="6" applyNumberFormat="1" applyFont="1" applyAlignment="1">
      <alignment horizontal="right" vertical="center" wrapText="1"/>
    </xf>
    <xf numFmtId="0" fontId="5" fillId="0" borderId="0" xfId="6" applyFont="1" applyAlignment="1">
      <alignment vertical="center" wrapText="1"/>
    </xf>
    <xf numFmtId="3" fontId="38" fillId="0" borderId="0" xfId="0" applyNumberFormat="1" applyFont="1" applyAlignment="1">
      <alignment horizontal="center"/>
    </xf>
    <xf numFmtId="0" fontId="92" fillId="0" borderId="6" xfId="0" applyFont="1" applyFill="1" applyBorder="1"/>
    <xf numFmtId="0" fontId="95" fillId="0" borderId="6" xfId="0" applyFont="1" applyFill="1" applyBorder="1"/>
    <xf numFmtId="0" fontId="87" fillId="0" borderId="0" xfId="6" applyFont="1" applyFill="1" applyBorder="1" applyAlignment="1">
      <alignment horizontal="right" vertical="center" wrapText="1"/>
    </xf>
    <xf numFmtId="3" fontId="94" fillId="0" borderId="0" xfId="0" applyNumberFormat="1" applyFont="1" applyAlignment="1">
      <alignment horizontal="center"/>
    </xf>
    <xf numFmtId="0" fontId="8" fillId="0" borderId="1" xfId="0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48" fillId="0" borderId="0" xfId="6" applyFont="1" applyAlignment="1">
      <alignment horizontal="left" vertical="center" wrapText="1"/>
    </xf>
    <xf numFmtId="0" fontId="49" fillId="0" borderId="0" xfId="6" applyFont="1" applyAlignment="1">
      <alignment horizontal="left" vertical="center"/>
    </xf>
    <xf numFmtId="0" fontId="49" fillId="0" borderId="0" xfId="6" applyFont="1" applyAlignment="1">
      <alignment vertical="center"/>
    </xf>
    <xf numFmtId="0" fontId="48" fillId="0" borderId="0" xfId="6" applyFont="1" applyAlignment="1">
      <alignment horizontal="center" vertical="center"/>
    </xf>
    <xf numFmtId="165" fontId="48" fillId="0" borderId="0" xfId="6" applyNumberFormat="1" applyFont="1" applyAlignment="1">
      <alignment horizontal="center" vertical="center" wrapText="1"/>
    </xf>
    <xf numFmtId="165" fontId="48" fillId="0" borderId="0" xfId="6" applyNumberFormat="1" applyFont="1" applyAlignment="1">
      <alignment horizontal="right" vertical="center" wrapText="1"/>
    </xf>
    <xf numFmtId="0" fontId="48" fillId="0" borderId="0" xfId="6" quotePrefix="1" applyFont="1" applyAlignment="1">
      <alignment horizontal="center" vertical="center"/>
    </xf>
    <xf numFmtId="165" fontId="156" fillId="0" borderId="0" xfId="6" applyNumberFormat="1" applyFont="1" applyAlignment="1">
      <alignment vertical="center"/>
    </xf>
    <xf numFmtId="0" fontId="48" fillId="0" borderId="0" xfId="6" applyFont="1" applyAlignment="1">
      <alignment horizontal="left" vertical="center"/>
    </xf>
    <xf numFmtId="0" fontId="48" fillId="0" borderId="0" xfId="6" applyFont="1" applyAlignment="1">
      <alignment vertical="center"/>
    </xf>
    <xf numFmtId="0" fontId="49" fillId="0" borderId="0" xfId="6" applyFont="1"/>
    <xf numFmtId="0" fontId="49" fillId="0" borderId="0" xfId="6" applyFont="1" applyBorder="1" applyAlignment="1">
      <alignment vertical="center"/>
    </xf>
    <xf numFmtId="0" fontId="49" fillId="0" borderId="4" xfId="6" applyFont="1" applyBorder="1"/>
    <xf numFmtId="0" fontId="49" fillId="0" borderId="4" xfId="6" applyFont="1" applyBorder="1" applyAlignment="1">
      <alignment vertical="center"/>
    </xf>
    <xf numFmtId="0" fontId="48" fillId="0" borderId="4" xfId="6" applyFont="1" applyBorder="1" applyAlignment="1">
      <alignment horizontal="left"/>
    </xf>
    <xf numFmtId="4" fontId="43" fillId="0" borderId="0" xfId="0" applyNumberFormat="1" applyFont="1" applyFill="1"/>
    <xf numFmtId="0" fontId="94" fillId="0" borderId="1" xfId="0" applyFont="1" applyFill="1" applyBorder="1" applyAlignment="1">
      <alignment horizontal="center" vertical="center"/>
    </xf>
    <xf numFmtId="0" fontId="144" fillId="0" borderId="1" xfId="0" applyFont="1" applyFill="1" applyBorder="1" applyAlignment="1">
      <alignment horizontal="left" vertical="center" wrapText="1" indent="2"/>
    </xf>
    <xf numFmtId="0" fontId="145" fillId="0" borderId="1" xfId="0" applyFont="1" applyFill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3" fontId="102" fillId="7" borderId="1" xfId="0" applyNumberFormat="1" applyFont="1" applyFill="1" applyBorder="1" applyAlignment="1">
      <alignment horizontal="right"/>
    </xf>
    <xf numFmtId="3" fontId="88" fillId="7" borderId="1" xfId="0" applyNumberFormat="1" applyFont="1" applyFill="1" applyBorder="1" applyAlignment="1">
      <alignment horizontal="right"/>
    </xf>
    <xf numFmtId="3" fontId="102" fillId="8" borderId="1" xfId="0" applyNumberFormat="1" applyFont="1" applyFill="1" applyBorder="1" applyAlignment="1" applyProtection="1">
      <alignment horizontal="right"/>
    </xf>
    <xf numFmtId="3" fontId="55" fillId="8" borderId="1" xfId="0" quotePrefix="1" applyNumberFormat="1" applyFont="1" applyFill="1" applyBorder="1" applyAlignment="1">
      <alignment horizontal="right"/>
    </xf>
    <xf numFmtId="3" fontId="55" fillId="8" borderId="1" xfId="0" applyNumberFormat="1" applyFont="1" applyFill="1" applyBorder="1" applyAlignment="1">
      <alignment horizontal="right"/>
    </xf>
    <xf numFmtId="3" fontId="55" fillId="2" borderId="1" xfId="0" applyNumberFormat="1" applyFont="1" applyFill="1" applyBorder="1" applyAlignment="1">
      <alignment horizontal="right"/>
    </xf>
    <xf numFmtId="3" fontId="103" fillId="2" borderId="1" xfId="0" applyNumberFormat="1" applyFont="1" applyFill="1" applyBorder="1" applyAlignment="1" applyProtection="1">
      <alignment horizontal="right"/>
      <protection locked="0"/>
    </xf>
    <xf numFmtId="3" fontId="12" fillId="2" borderId="1" xfId="0" applyNumberFormat="1" applyFont="1" applyFill="1" applyBorder="1" applyAlignment="1" applyProtection="1">
      <alignment horizontal="right"/>
      <protection locked="0"/>
    </xf>
    <xf numFmtId="3" fontId="37" fillId="2" borderId="1" xfId="0" applyNumberFormat="1" applyFont="1" applyFill="1" applyBorder="1" applyAlignment="1">
      <alignment horizontal="right"/>
    </xf>
    <xf numFmtId="3" fontId="55" fillId="7" borderId="1" xfId="0" applyNumberFormat="1" applyFont="1" applyFill="1" applyBorder="1" applyAlignment="1">
      <alignment horizontal="right"/>
    </xf>
    <xf numFmtId="3" fontId="103" fillId="7" borderId="1" xfId="0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>
      <alignment horizontal="right"/>
    </xf>
    <xf numFmtId="3" fontId="33" fillId="7" borderId="1" xfId="0" applyNumberFormat="1" applyFont="1" applyFill="1" applyBorder="1" applyAlignment="1">
      <alignment horizontal="right"/>
    </xf>
    <xf numFmtId="3" fontId="87" fillId="7" borderId="1" xfId="0" applyNumberFormat="1" applyFont="1" applyFill="1" applyBorder="1" applyAlignment="1" applyProtection="1">
      <alignment horizontal="right"/>
      <protection locked="0"/>
    </xf>
    <xf numFmtId="3" fontId="55" fillId="0" borderId="1" xfId="0" applyNumberFormat="1" applyFont="1" applyFill="1" applyBorder="1" applyAlignment="1">
      <alignment horizontal="right"/>
    </xf>
    <xf numFmtId="3" fontId="55" fillId="8" borderId="1" xfId="0" applyNumberFormat="1" applyFont="1" applyFill="1" applyBorder="1" applyAlignment="1" applyProtection="1">
      <alignment horizontal="right"/>
    </xf>
    <xf numFmtId="3" fontId="101" fillId="0" borderId="1" xfId="0" applyNumberFormat="1" applyFont="1" applyBorder="1" applyAlignment="1">
      <alignment horizontal="right"/>
    </xf>
    <xf numFmtId="0" fontId="5" fillId="0" borderId="1" xfId="6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49" fillId="0" borderId="0" xfId="6" applyFont="1" applyAlignment="1">
      <alignment horizontal="left" vertical="center"/>
    </xf>
    <xf numFmtId="0" fontId="49" fillId="0" borderId="0" xfId="6" applyFont="1" applyAlignment="1">
      <alignment horizontal="center" vertical="center"/>
    </xf>
    <xf numFmtId="165" fontId="48" fillId="0" borderId="0" xfId="6" applyNumberFormat="1" applyFont="1" applyAlignment="1">
      <alignment horizontal="left" vertical="center" wrapText="1"/>
    </xf>
    <xf numFmtId="0" fontId="48" fillId="0" borderId="4" xfId="6" applyFont="1" applyBorder="1" applyAlignment="1">
      <alignment horizontal="center" vertical="center"/>
    </xf>
    <xf numFmtId="0" fontId="17" fillId="0" borderId="1" xfId="6" applyFont="1" applyBorder="1" applyAlignment="1">
      <alignment horizontal="left" vertical="center" wrapText="1"/>
    </xf>
    <xf numFmtId="0" fontId="230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3" fontId="17" fillId="0" borderId="1" xfId="6" applyNumberFormat="1" applyFont="1" applyBorder="1" applyAlignment="1">
      <alignment horizontal="center" vertical="center"/>
    </xf>
    <xf numFmtId="4" fontId="17" fillId="0" borderId="1" xfId="6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7" fillId="0" borderId="0" xfId="6" applyFont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7" fillId="0" borderId="2" xfId="6" applyFont="1" applyBorder="1" applyAlignment="1">
      <alignment horizontal="center" vertical="center" wrapText="1"/>
    </xf>
    <xf numFmtId="0" fontId="17" fillId="0" borderId="10" xfId="6" applyFont="1" applyBorder="1" applyAlignment="1">
      <alignment horizontal="center" vertical="center" wrapText="1"/>
    </xf>
    <xf numFmtId="0" fontId="17" fillId="0" borderId="3" xfId="6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6" applyFont="1" applyBorder="1" applyAlignment="1">
      <alignment horizontal="left" vertical="center"/>
    </xf>
    <xf numFmtId="0" fontId="17" fillId="0" borderId="2" xfId="6" applyFont="1" applyBorder="1" applyAlignment="1">
      <alignment vertical="center" wrapText="1"/>
    </xf>
    <xf numFmtId="0" fontId="228" fillId="0" borderId="10" xfId="0" applyFont="1" applyBorder="1" applyAlignment="1">
      <alignment vertical="center" wrapText="1"/>
    </xf>
    <xf numFmtId="0" fontId="228" fillId="0" borderId="3" xfId="0" applyFont="1" applyBorder="1" applyAlignment="1">
      <alignment vertical="center" wrapText="1"/>
    </xf>
    <xf numFmtId="0" fontId="17" fillId="0" borderId="1" xfId="6" applyFont="1" applyBorder="1" applyAlignment="1">
      <alignment horizontal="left" vertical="center"/>
    </xf>
    <xf numFmtId="0" fontId="54" fillId="0" borderId="1" xfId="0" applyFont="1" applyFill="1" applyBorder="1" applyAlignment="1" applyProtection="1">
      <alignment horizontal="left" wrapText="1"/>
      <protection locked="0"/>
    </xf>
    <xf numFmtId="0" fontId="74" fillId="0" borderId="1" xfId="0" applyFont="1" applyFill="1" applyBorder="1" applyAlignment="1" applyProtection="1">
      <alignment horizontal="left" wrapText="1"/>
      <protection locked="0"/>
    </xf>
    <xf numFmtId="0" fontId="54" fillId="9" borderId="1" xfId="0" applyFont="1" applyFill="1" applyBorder="1" applyAlignment="1" applyProtection="1">
      <alignment horizontal="left" wrapText="1"/>
      <protection locked="0"/>
    </xf>
    <xf numFmtId="0" fontId="53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0" fontId="64" fillId="0" borderId="0" xfId="0" applyFont="1" applyBorder="1" applyAlignment="1">
      <alignment horizontal="center" vertical="center"/>
    </xf>
    <xf numFmtId="0" fontId="54" fillId="0" borderId="1" xfId="0" applyFont="1" applyFill="1" applyBorder="1" applyAlignment="1" applyProtection="1">
      <alignment horizontal="center"/>
      <protection locked="0"/>
    </xf>
    <xf numFmtId="0" fontId="74" fillId="0" borderId="2" xfId="0" applyFont="1" applyFill="1" applyBorder="1" applyAlignment="1" applyProtection="1">
      <alignment horizontal="left" wrapText="1"/>
      <protection locked="0"/>
    </xf>
    <xf numFmtId="0" fontId="74" fillId="0" borderId="3" xfId="0" applyFont="1" applyFill="1" applyBorder="1" applyAlignment="1" applyProtection="1">
      <alignment horizontal="left" wrapText="1"/>
      <protection locked="0"/>
    </xf>
    <xf numFmtId="0" fontId="74" fillId="0" borderId="2" xfId="0" applyFont="1" applyFill="1" applyBorder="1" applyAlignment="1" applyProtection="1">
      <alignment horizontal="right" wrapText="1"/>
      <protection locked="0"/>
    </xf>
    <xf numFmtId="0" fontId="74" fillId="0" borderId="3" xfId="0" applyFont="1" applyFill="1" applyBorder="1" applyAlignment="1" applyProtection="1">
      <alignment horizontal="right" wrapText="1"/>
      <protection locked="0"/>
    </xf>
    <xf numFmtId="0" fontId="53" fillId="0" borderId="1" xfId="0" applyFont="1" applyFill="1" applyBorder="1" applyAlignment="1" applyProtection="1">
      <alignment horizontal="center"/>
      <protection locked="0"/>
    </xf>
    <xf numFmtId="0" fontId="95" fillId="0" borderId="1" xfId="6" applyFont="1" applyBorder="1" applyAlignment="1">
      <alignment horizontal="left" vertical="center" wrapText="1"/>
    </xf>
    <xf numFmtId="0" fontId="91" fillId="14" borderId="0" xfId="0" applyFont="1" applyFill="1" applyAlignment="1" applyProtection="1">
      <alignment horizontal="left" vertical="center" wrapText="1"/>
      <protection locked="0"/>
    </xf>
    <xf numFmtId="0" fontId="62" fillId="0" borderId="7" xfId="0" applyFont="1" applyBorder="1" applyAlignment="1">
      <alignment horizontal="center" vertical="center"/>
    </xf>
    <xf numFmtId="0" fontId="62" fillId="0" borderId="8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90" fillId="14" borderId="0" xfId="0" applyFont="1" applyFill="1" applyAlignment="1" applyProtection="1">
      <alignment horizontal="left" vertical="center" wrapText="1"/>
      <protection locked="0"/>
    </xf>
    <xf numFmtId="0" fontId="91" fillId="0" borderId="1" xfId="0" applyFont="1" applyBorder="1" applyAlignment="1">
      <alignment horizontal="center" vertical="center"/>
    </xf>
    <xf numFmtId="0" fontId="95" fillId="0" borderId="1" xfId="0" applyFont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left" vertical="center" wrapText="1"/>
    </xf>
    <xf numFmtId="0" fontId="95" fillId="0" borderId="1" xfId="0" applyFont="1" applyFill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92" fillId="0" borderId="1" xfId="0" applyFont="1" applyFill="1" applyBorder="1" applyAlignment="1">
      <alignment horizontal="left" vertical="center"/>
    </xf>
    <xf numFmtId="0" fontId="95" fillId="15" borderId="1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left" vertical="center" wrapText="1"/>
    </xf>
    <xf numFmtId="0" fontId="91" fillId="0" borderId="0" xfId="0" applyFont="1" applyFill="1" applyAlignment="1" applyProtection="1">
      <alignment horizontal="center" vertical="center" wrapText="1"/>
      <protection locked="0"/>
    </xf>
    <xf numFmtId="0" fontId="95" fillId="0" borderId="1" xfId="0" applyFont="1" applyFill="1" applyBorder="1" applyAlignment="1">
      <alignment horizontal="center" vertical="center"/>
    </xf>
    <xf numFmtId="0" fontId="212" fillId="0" borderId="0" xfId="0" applyFont="1" applyAlignment="1">
      <alignment horizontal="left" wrapText="1"/>
    </xf>
    <xf numFmtId="0" fontId="211" fillId="0" borderId="0" xfId="0" applyFont="1" applyAlignment="1">
      <alignment wrapText="1"/>
    </xf>
    <xf numFmtId="0" fontId="32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79" fillId="0" borderId="0" xfId="10" applyFont="1" applyFill="1" applyAlignment="1">
      <alignment horizontal="center" wrapText="1"/>
    </xf>
    <xf numFmtId="0" fontId="179" fillId="0" borderId="1" xfId="13" applyFont="1" applyFill="1" applyBorder="1" applyAlignment="1">
      <alignment horizontal="center" vertical="center" wrapText="1"/>
    </xf>
    <xf numFmtId="0" fontId="172" fillId="0" borderId="1" xfId="0" applyFont="1" applyFill="1" applyBorder="1" applyAlignment="1">
      <alignment horizontal="center" vertical="center" wrapText="1"/>
    </xf>
    <xf numFmtId="0" fontId="178" fillId="9" borderId="1" xfId="13" applyFont="1" applyFill="1" applyBorder="1" applyAlignment="1">
      <alignment horizontal="center" vertical="center" wrapText="1"/>
    </xf>
    <xf numFmtId="0" fontId="173" fillId="0" borderId="1" xfId="13" applyFont="1" applyFill="1" applyBorder="1" applyAlignment="1">
      <alignment horizontal="center" vertical="center" wrapText="1"/>
    </xf>
    <xf numFmtId="0" fontId="172" fillId="0" borderId="1" xfId="13" applyFont="1" applyFill="1" applyBorder="1" applyAlignment="1">
      <alignment horizontal="center" vertical="center" wrapText="1"/>
    </xf>
    <xf numFmtId="0" fontId="180" fillId="0" borderId="1" xfId="0" applyFont="1" applyFill="1" applyBorder="1" applyAlignment="1">
      <alignment horizontal="center" vertical="center" wrapText="1"/>
    </xf>
    <xf numFmtId="0" fontId="167" fillId="0" borderId="1" xfId="13" applyFont="1" applyFill="1" applyBorder="1" applyAlignment="1">
      <alignment horizontal="center" vertical="center" wrapText="1"/>
    </xf>
    <xf numFmtId="0" fontId="167" fillId="0" borderId="1" xfId="13" applyFont="1" applyFill="1" applyBorder="1" applyAlignment="1">
      <alignment horizontal="center" wrapText="1"/>
    </xf>
    <xf numFmtId="0" fontId="167" fillId="0" borderId="1" xfId="13" applyFont="1" applyFill="1" applyBorder="1" applyAlignment="1">
      <alignment horizontal="center" vertical="center" textRotation="90" wrapText="1"/>
    </xf>
    <xf numFmtId="0" fontId="167" fillId="0" borderId="1" xfId="0" applyFont="1" applyFill="1" applyBorder="1" applyAlignment="1">
      <alignment horizontal="center" vertical="center" textRotation="90" wrapText="1"/>
    </xf>
    <xf numFmtId="0" fontId="72" fillId="0" borderId="0" xfId="13" applyFont="1" applyFill="1" applyAlignment="1">
      <alignment horizontal="center"/>
    </xf>
    <xf numFmtId="0" fontId="73" fillId="0" borderId="0" xfId="13" applyFont="1" applyFill="1" applyAlignment="1">
      <alignment horizontal="center"/>
    </xf>
    <xf numFmtId="0" fontId="183" fillId="0" borderId="0" xfId="13" applyFont="1" applyFill="1" applyAlignment="1">
      <alignment horizontal="center"/>
    </xf>
    <xf numFmtId="49" fontId="52" fillId="0" borderId="1" xfId="13" applyNumberFormat="1" applyFont="1" applyFill="1" applyBorder="1" applyAlignment="1">
      <alignment horizontal="center" vertical="center" wrapText="1" shrinkToFit="1"/>
    </xf>
    <xf numFmtId="0" fontId="70" fillId="0" borderId="1" xfId="13" applyFont="1" applyFill="1" applyBorder="1" applyAlignment="1">
      <alignment horizontal="center" vertical="center" wrapText="1" shrinkToFit="1"/>
    </xf>
    <xf numFmtId="49" fontId="167" fillId="0" borderId="1" xfId="13" applyNumberFormat="1" applyFont="1" applyFill="1" applyBorder="1" applyAlignment="1">
      <alignment horizontal="center" vertical="center" wrapText="1" shrinkToFit="1"/>
    </xf>
    <xf numFmtId="49" fontId="167" fillId="0" borderId="1" xfId="13" applyNumberFormat="1" applyFont="1" applyFill="1" applyBorder="1" applyAlignment="1">
      <alignment horizontal="center" vertical="center" textRotation="90" wrapText="1" shrinkToFit="1"/>
    </xf>
    <xf numFmtId="49" fontId="52" fillId="0" borderId="1" xfId="14" applyNumberFormat="1" applyFont="1" applyFill="1" applyBorder="1" applyAlignment="1">
      <alignment horizontal="center" vertical="center" wrapText="1"/>
    </xf>
    <xf numFmtId="0" fontId="152" fillId="0" borderId="0" xfId="14" applyFont="1" applyFill="1" applyAlignment="1">
      <alignment horizontal="center" wrapText="1"/>
    </xf>
    <xf numFmtId="0" fontId="74" fillId="0" borderId="0" xfId="0" applyFont="1" applyFill="1" applyAlignment="1">
      <alignment wrapText="1"/>
    </xf>
    <xf numFmtId="0" fontId="74" fillId="0" borderId="0" xfId="14" applyFont="1" applyFill="1" applyAlignment="1">
      <alignment horizontal="right" wrapText="1"/>
    </xf>
    <xf numFmtId="0" fontId="74" fillId="0" borderId="0" xfId="0" applyFont="1" applyAlignment="1">
      <alignment wrapText="1"/>
    </xf>
    <xf numFmtId="0" fontId="153" fillId="0" borderId="0" xfId="14" applyFont="1" applyFill="1" applyAlignment="1">
      <alignment horizontal="right" wrapText="1"/>
    </xf>
    <xf numFmtId="0" fontId="153" fillId="0" borderId="0" xfId="0" applyFont="1" applyFill="1" applyAlignment="1">
      <alignment horizontal="right" wrapText="1"/>
    </xf>
    <xf numFmtId="49" fontId="49" fillId="0" borderId="1" xfId="14" applyNumberFormat="1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/>
    </xf>
    <xf numFmtId="0" fontId="153" fillId="0" borderId="0" xfId="14" applyFont="1" applyFill="1" applyAlignment="1">
      <alignment horizontal="center" wrapText="1"/>
    </xf>
    <xf numFmtId="0" fontId="153" fillId="0" borderId="0" xfId="0" applyFont="1" applyFill="1" applyAlignment="1">
      <alignment wrapText="1"/>
    </xf>
    <xf numFmtId="49" fontId="52" fillId="0" borderId="1" xfId="14" applyNumberFormat="1" applyFont="1" applyFill="1" applyBorder="1" applyAlignment="1">
      <alignment horizontal="left" vertical="center" wrapText="1"/>
    </xf>
    <xf numFmtId="49" fontId="148" fillId="0" borderId="1" xfId="14" applyNumberFormat="1" applyFont="1" applyFill="1" applyBorder="1" applyAlignment="1">
      <alignment horizontal="center" vertical="center" wrapText="1"/>
    </xf>
    <xf numFmtId="0" fontId="54" fillId="0" borderId="0" xfId="14" applyFont="1" applyFill="1" applyAlignment="1">
      <alignment horizontal="center" wrapText="1"/>
    </xf>
    <xf numFmtId="0" fontId="54" fillId="0" borderId="0" xfId="14" applyFont="1" applyFill="1" applyAlignment="1">
      <alignment horizontal="right" wrapText="1"/>
    </xf>
    <xf numFmtId="0" fontId="54" fillId="0" borderId="0" xfId="0" applyFont="1" applyFill="1" applyAlignment="1">
      <alignment wrapText="1"/>
    </xf>
    <xf numFmtId="0" fontId="74" fillId="0" borderId="0" xfId="14" applyFont="1" applyFill="1" applyAlignment="1">
      <alignment horizontal="left" wrapText="1"/>
    </xf>
    <xf numFmtId="0" fontId="74" fillId="0" borderId="0" xfId="0" applyFont="1" applyFill="1" applyAlignment="1">
      <alignment horizontal="left" wrapText="1"/>
    </xf>
    <xf numFmtId="0" fontId="160" fillId="0" borderId="0" xfId="14" applyFont="1" applyFill="1" applyAlignment="1">
      <alignment horizontal="center" wrapText="1"/>
    </xf>
    <xf numFmtId="0" fontId="49" fillId="0" borderId="0" xfId="6" applyFont="1" applyAlignment="1">
      <alignment wrapText="1"/>
    </xf>
    <xf numFmtId="0" fontId="49" fillId="0" borderId="0" xfId="6" applyFont="1" applyFill="1" applyAlignment="1">
      <alignment wrapText="1"/>
    </xf>
    <xf numFmtId="49" fontId="7" fillId="0" borderId="1" xfId="14" applyNumberFormat="1" applyFont="1" applyFill="1" applyBorder="1" applyAlignment="1">
      <alignment horizontal="center" vertical="center" wrapText="1"/>
    </xf>
    <xf numFmtId="0" fontId="160" fillId="0" borderId="0" xfId="14" applyFont="1" applyFill="1" applyAlignment="1">
      <alignment horizontal="left" wrapText="1"/>
    </xf>
    <xf numFmtId="0" fontId="49" fillId="0" borderId="0" xfId="6" applyFont="1" applyAlignment="1">
      <alignment horizontal="left" wrapText="1"/>
    </xf>
    <xf numFmtId="0" fontId="49" fillId="0" borderId="0" xfId="14" applyFont="1" applyFill="1" applyAlignment="1">
      <alignment horizontal="right" wrapText="1"/>
    </xf>
    <xf numFmtId="0" fontId="0" fillId="0" borderId="0" xfId="0" applyAlignment="1">
      <alignment wrapText="1"/>
    </xf>
    <xf numFmtId="0" fontId="49" fillId="0" borderId="0" xfId="14" applyFont="1" applyFill="1" applyBorder="1" applyAlignment="1">
      <alignment horizontal="right" wrapText="1"/>
    </xf>
    <xf numFmtId="0" fontId="49" fillId="0" borderId="0" xfId="6" applyFont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87" fillId="0" borderId="2" xfId="9" applyFont="1" applyFill="1" applyBorder="1" applyAlignment="1">
      <alignment horizontal="center" wrapText="1"/>
    </xf>
    <xf numFmtId="0" fontId="87" fillId="0" borderId="10" xfId="9" applyFont="1" applyFill="1" applyBorder="1" applyAlignment="1">
      <alignment horizontal="center" wrapText="1"/>
    </xf>
    <xf numFmtId="0" fontId="87" fillId="0" borderId="3" xfId="9" applyFont="1" applyFill="1" applyBorder="1" applyAlignment="1">
      <alignment horizontal="center" wrapText="1"/>
    </xf>
    <xf numFmtId="0" fontId="87" fillId="2" borderId="2" xfId="9" applyFont="1" applyFill="1" applyBorder="1" applyAlignment="1">
      <alignment horizontal="center" wrapText="1"/>
    </xf>
    <xf numFmtId="0" fontId="87" fillId="2" borderId="10" xfId="0" applyFont="1" applyFill="1" applyBorder="1" applyAlignment="1">
      <alignment horizontal="center" wrapText="1"/>
    </xf>
    <xf numFmtId="0" fontId="87" fillId="2" borderId="3" xfId="0" applyFont="1" applyFill="1" applyBorder="1" applyAlignment="1">
      <alignment horizontal="center" wrapText="1"/>
    </xf>
    <xf numFmtId="0" fontId="88" fillId="0" borderId="1" xfId="9" applyFont="1" applyFill="1" applyBorder="1" applyAlignment="1">
      <alignment horizontal="center" wrapText="1"/>
    </xf>
    <xf numFmtId="0" fontId="87" fillId="0" borderId="1" xfId="9" applyFont="1" applyFill="1" applyBorder="1" applyAlignment="1">
      <alignment horizontal="center" wrapText="1"/>
    </xf>
    <xf numFmtId="0" fontId="118" fillId="0" borderId="1" xfId="9" applyFont="1" applyFill="1" applyBorder="1" applyAlignment="1">
      <alignment horizontal="center" wrapText="1"/>
    </xf>
    <xf numFmtId="0" fontId="106" fillId="0" borderId="1" xfId="0" applyFont="1" applyFill="1" applyBorder="1" applyAlignment="1">
      <alignment horizontal="center" wrapText="1"/>
    </xf>
    <xf numFmtId="0" fontId="87" fillId="0" borderId="1" xfId="0" applyFont="1" applyFill="1" applyBorder="1" applyAlignment="1">
      <alignment horizontal="center" vertical="center" wrapText="1"/>
    </xf>
    <xf numFmtId="14" fontId="87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wrapText="1"/>
    </xf>
    <xf numFmtId="0" fontId="204" fillId="0" borderId="1" xfId="0" applyFont="1" applyFill="1" applyBorder="1" applyAlignment="1">
      <alignment horizontal="center"/>
    </xf>
    <xf numFmtId="0" fontId="204" fillId="0" borderId="1" xfId="0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/>
    </xf>
    <xf numFmtId="0" fontId="78" fillId="0" borderId="0" xfId="6" applyFont="1" applyFill="1" applyBorder="1" applyAlignment="1">
      <alignment horizontal="center" vertical="center" wrapText="1"/>
    </xf>
    <xf numFmtId="0" fontId="78" fillId="0" borderId="0" xfId="6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0" xfId="6" applyFont="1" applyAlignment="1">
      <alignment wrapText="1"/>
    </xf>
    <xf numFmtId="0" fontId="33" fillId="0" borderId="1" xfId="0" applyFont="1" applyBorder="1" applyAlignment="1">
      <alignment horizontal="center" wrapText="1"/>
    </xf>
    <xf numFmtId="0" fontId="114" fillId="0" borderId="1" xfId="0" applyFont="1" applyBorder="1" applyAlignment="1">
      <alignment horizontal="center" wrapText="1"/>
    </xf>
    <xf numFmtId="0" fontId="78" fillId="0" borderId="1" xfId="6" applyFont="1" applyFill="1" applyBorder="1" applyAlignment="1">
      <alignment horizontal="center" vertical="center" wrapText="1"/>
    </xf>
    <xf numFmtId="0" fontId="78" fillId="0" borderId="1" xfId="6" applyFont="1" applyBorder="1" applyAlignment="1">
      <alignment horizontal="center" vertical="center" wrapText="1"/>
    </xf>
    <xf numFmtId="0" fontId="48" fillId="0" borderId="0" xfId="6" applyFont="1" applyAlignment="1">
      <alignment horizontal="center" wrapText="1"/>
    </xf>
    <xf numFmtId="0" fontId="222" fillId="0" borderId="0" xfId="0" applyFont="1" applyAlignment="1">
      <alignment wrapText="1"/>
    </xf>
    <xf numFmtId="0" fontId="95" fillId="0" borderId="1" xfId="6" applyFont="1" applyBorder="1" applyAlignment="1">
      <alignment horizontal="center" vertical="center" wrapText="1"/>
    </xf>
    <xf numFmtId="0" fontId="219" fillId="0" borderId="0" xfId="0" applyFont="1" applyAlignment="1">
      <alignment horizontal="left" wrapText="1"/>
    </xf>
    <xf numFmtId="0" fontId="208" fillId="0" borderId="0" xfId="0" applyFont="1" applyAlignment="1">
      <alignment wrapText="1"/>
    </xf>
    <xf numFmtId="0" fontId="53" fillId="0" borderId="0" xfId="0" applyFont="1" applyAlignment="1">
      <alignment horizontal="left"/>
    </xf>
    <xf numFmtId="0" fontId="61" fillId="6" borderId="7" xfId="0" applyFont="1" applyFill="1" applyBorder="1" applyAlignment="1">
      <alignment horizontal="center" vertical="center" wrapText="1"/>
    </xf>
    <xf numFmtId="0" fontId="61" fillId="6" borderId="8" xfId="0" applyFont="1" applyFill="1" applyBorder="1" applyAlignment="1">
      <alignment horizontal="center" vertical="center" wrapText="1"/>
    </xf>
    <xf numFmtId="0" fontId="61" fillId="6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9" fontId="31" fillId="2" borderId="0" xfId="0" applyNumberFormat="1" applyFont="1" applyFill="1" applyAlignment="1">
      <alignment horizontal="center" vertical="center"/>
    </xf>
  </cellXfs>
  <cellStyles count="19">
    <cellStyle name="Normal_meresha_07" xfId="1"/>
    <cellStyle name="Гиперссылка" xfId="2" builtinId="8"/>
    <cellStyle name="Денежный 2" xfId="3"/>
    <cellStyle name="Звичайний 2" xfId="4"/>
    <cellStyle name="Звичайний_ВИДАТКИ 2011 РОКУ" xfId="5"/>
    <cellStyle name="Обычный" xfId="0" builtinId="0"/>
    <cellStyle name="Обычный 2" xfId="6"/>
    <cellStyle name="Обычный 2 2" xfId="7"/>
    <cellStyle name="Обычный 3" xfId="8"/>
    <cellStyle name="Обычный_Додаткові кошти 3" xfId="9"/>
    <cellStyle name="Обычный_ІІІ етап ЄТС остаточний" xfId="10"/>
    <cellStyle name="Обычный_Інформація УОЗ обсяг видатків на 2009 рік по району" xfId="11"/>
    <cellStyle name="Обычный_Тарифікація А ЗПСМ станом на 01.01.2013 р." xfId="12"/>
    <cellStyle name="Обычный_Тарифікація ЦРЛ станом на 02.07.2013 р." xfId="13"/>
    <cellStyle name="Обычный_ШТАТИ на 01 грудня 2013 року" xfId="14"/>
    <cellStyle name="Процентный" xfId="15" builtinId="5"/>
    <cellStyle name="Стиль 1" xfId="16"/>
    <cellStyle name="Тысячи [0]_Розподіл (2)" xfId="17"/>
    <cellStyle name="Тысячи_бюджет 1998 по клас." xfId="18"/>
  </cellStyles>
  <dxfs count="1003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ill>
        <patternFill>
          <bgColor theme="0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01_&#1044;&#1086;&#1093;&#1086;&#1076;&#1080;'!H10"/><Relationship Id="rId18" Type="http://schemas.openxmlformats.org/officeDocument/2006/relationships/hyperlink" Target="#'01_&#1044;&#1086;&#1093;&#1086;&#1076;&#1080;'!H10"/><Relationship Id="rId26" Type="http://schemas.openxmlformats.org/officeDocument/2006/relationships/hyperlink" Target="#'01_&#1044;&#1086;&#1093;&#1086;&#1076;&#1080;'!H10"/><Relationship Id="rId39" Type="http://schemas.openxmlformats.org/officeDocument/2006/relationships/hyperlink" Target="#'01_&#1044;&#1086;&#1093;&#1086;&#1076;&#1080;'!H10"/><Relationship Id="rId21" Type="http://schemas.openxmlformats.org/officeDocument/2006/relationships/hyperlink" Target="#'01_&#1044;&#1086;&#1093;&#1086;&#1076;&#1080;'!H10"/><Relationship Id="rId34" Type="http://schemas.openxmlformats.org/officeDocument/2006/relationships/hyperlink" Target="#'01_&#1044;&#1086;&#1093;&#1086;&#1076;&#1080;'!H10"/><Relationship Id="rId42" Type="http://schemas.openxmlformats.org/officeDocument/2006/relationships/hyperlink" Target="#'01_&#1044;&#1086;&#1093;&#1086;&#1076;&#1080;'!H10"/><Relationship Id="rId47" Type="http://schemas.openxmlformats.org/officeDocument/2006/relationships/hyperlink" Target="#'01_&#1044;&#1086;&#1093;&#1086;&#1076;&#1080;'!H10"/><Relationship Id="rId50" Type="http://schemas.openxmlformats.org/officeDocument/2006/relationships/hyperlink" Target="#'01_&#1044;&#1086;&#1093;&#1086;&#1076;&#1080;'!H10"/><Relationship Id="rId55" Type="http://schemas.openxmlformats.org/officeDocument/2006/relationships/hyperlink" Target="#'01_&#1044;&#1086;&#1093;&#1086;&#1076;&#1080;'!H10"/><Relationship Id="rId63" Type="http://schemas.openxmlformats.org/officeDocument/2006/relationships/hyperlink" Target="#'01_&#1044;&#1086;&#1093;&#1086;&#1076;&#1080;'!H10"/><Relationship Id="rId68" Type="http://schemas.openxmlformats.org/officeDocument/2006/relationships/hyperlink" Target="#'01_&#1044;&#1086;&#1093;&#1086;&#1076;&#1080;'!H10"/><Relationship Id="rId76" Type="http://schemas.openxmlformats.org/officeDocument/2006/relationships/hyperlink" Target="#'01_&#1044;&#1086;&#1093;&#1086;&#1076;&#1080;'!H10"/><Relationship Id="rId84" Type="http://schemas.openxmlformats.org/officeDocument/2006/relationships/hyperlink" Target="#'01_&#1044;&#1086;&#1093;&#1086;&#1076;&#1080;'!H10"/><Relationship Id="rId7" Type="http://schemas.openxmlformats.org/officeDocument/2006/relationships/hyperlink" Target="#'01_&#1044;&#1086;&#1093;&#1086;&#1076;&#1080;'!H10"/><Relationship Id="rId71" Type="http://schemas.openxmlformats.org/officeDocument/2006/relationships/hyperlink" Target="#'01_&#1044;&#1086;&#1093;&#1086;&#1076;&#1080;'!H10"/><Relationship Id="rId2" Type="http://schemas.openxmlformats.org/officeDocument/2006/relationships/image" Target="../media/image1.png"/><Relationship Id="rId16" Type="http://schemas.openxmlformats.org/officeDocument/2006/relationships/hyperlink" Target="#'01_&#1044;&#1086;&#1093;&#1086;&#1076;&#1080;'!H10"/><Relationship Id="rId29" Type="http://schemas.openxmlformats.org/officeDocument/2006/relationships/hyperlink" Target="#'01_&#1044;&#1086;&#1093;&#1086;&#1076;&#1080;'!H10"/><Relationship Id="rId11" Type="http://schemas.openxmlformats.org/officeDocument/2006/relationships/hyperlink" Target="#'01_&#1044;&#1086;&#1093;&#1086;&#1076;&#1080;'!H10"/><Relationship Id="rId24" Type="http://schemas.openxmlformats.org/officeDocument/2006/relationships/hyperlink" Target="#'01_&#1044;&#1086;&#1093;&#1086;&#1076;&#1080;'!H10"/><Relationship Id="rId32" Type="http://schemas.openxmlformats.org/officeDocument/2006/relationships/hyperlink" Target="#'01_&#1044;&#1086;&#1093;&#1086;&#1076;&#1080;'!H10"/><Relationship Id="rId37" Type="http://schemas.openxmlformats.org/officeDocument/2006/relationships/hyperlink" Target="#'01_&#1044;&#1086;&#1093;&#1086;&#1076;&#1080;'!H10"/><Relationship Id="rId40" Type="http://schemas.openxmlformats.org/officeDocument/2006/relationships/hyperlink" Target="#'01_&#1044;&#1086;&#1093;&#1086;&#1076;&#1080;'!H10"/><Relationship Id="rId45" Type="http://schemas.openxmlformats.org/officeDocument/2006/relationships/hyperlink" Target="#'01_&#1044;&#1086;&#1093;&#1086;&#1076;&#1080;'!H10"/><Relationship Id="rId53" Type="http://schemas.openxmlformats.org/officeDocument/2006/relationships/hyperlink" Target="#'01_&#1044;&#1086;&#1093;&#1086;&#1076;&#1080;'!H10"/><Relationship Id="rId58" Type="http://schemas.openxmlformats.org/officeDocument/2006/relationships/hyperlink" Target="#'01_&#1044;&#1086;&#1093;&#1086;&#1076;&#1080;'!H10"/><Relationship Id="rId66" Type="http://schemas.openxmlformats.org/officeDocument/2006/relationships/hyperlink" Target="#'01_&#1044;&#1086;&#1093;&#1086;&#1076;&#1080;'!H10"/><Relationship Id="rId74" Type="http://schemas.openxmlformats.org/officeDocument/2006/relationships/hyperlink" Target="#'01_&#1044;&#1086;&#1093;&#1086;&#1076;&#1080;'!H10"/><Relationship Id="rId79" Type="http://schemas.openxmlformats.org/officeDocument/2006/relationships/hyperlink" Target="#'01_&#1044;&#1086;&#1093;&#1086;&#1076;&#1080;'!H10"/><Relationship Id="rId87" Type="http://schemas.openxmlformats.org/officeDocument/2006/relationships/hyperlink" Target="#'01_&#1044;&#1086;&#1093;&#1086;&#1076;&#1080;'!H10"/><Relationship Id="rId5" Type="http://schemas.openxmlformats.org/officeDocument/2006/relationships/hyperlink" Target="#'01_&#1044;&#1086;&#1093;&#1086;&#1076;&#1080;'!H10"/><Relationship Id="rId61" Type="http://schemas.openxmlformats.org/officeDocument/2006/relationships/hyperlink" Target="#'01_&#1044;&#1086;&#1093;&#1086;&#1076;&#1080;'!H10"/><Relationship Id="rId82" Type="http://schemas.openxmlformats.org/officeDocument/2006/relationships/hyperlink" Target="#'01_&#1044;&#1086;&#1093;&#1086;&#1076;&#1080;'!H10"/><Relationship Id="rId19" Type="http://schemas.openxmlformats.org/officeDocument/2006/relationships/hyperlink" Target="#'01_&#1044;&#1086;&#1093;&#1086;&#1076;&#1080;'!H10"/><Relationship Id="rId4" Type="http://schemas.openxmlformats.org/officeDocument/2006/relationships/hyperlink" Target="#'01_&#1044;&#1086;&#1093;&#1086;&#1076;&#1080;'!H10"/><Relationship Id="rId9" Type="http://schemas.openxmlformats.org/officeDocument/2006/relationships/hyperlink" Target="#'01_&#1044;&#1086;&#1093;&#1086;&#1076;&#1080;'!H10"/><Relationship Id="rId14" Type="http://schemas.openxmlformats.org/officeDocument/2006/relationships/hyperlink" Target="#'01_&#1044;&#1086;&#1093;&#1086;&#1076;&#1080;'!H10"/><Relationship Id="rId22" Type="http://schemas.openxmlformats.org/officeDocument/2006/relationships/hyperlink" Target="#'01_&#1044;&#1086;&#1093;&#1086;&#1076;&#1080;'!H10"/><Relationship Id="rId27" Type="http://schemas.openxmlformats.org/officeDocument/2006/relationships/hyperlink" Target="#'01_&#1044;&#1086;&#1093;&#1086;&#1076;&#1080;'!H10"/><Relationship Id="rId30" Type="http://schemas.openxmlformats.org/officeDocument/2006/relationships/hyperlink" Target="#'01_&#1044;&#1086;&#1093;&#1086;&#1076;&#1080;'!H10"/><Relationship Id="rId35" Type="http://schemas.openxmlformats.org/officeDocument/2006/relationships/hyperlink" Target="#'01_&#1044;&#1086;&#1093;&#1086;&#1076;&#1080;'!H10"/><Relationship Id="rId43" Type="http://schemas.openxmlformats.org/officeDocument/2006/relationships/hyperlink" Target="#'01_&#1044;&#1086;&#1093;&#1086;&#1076;&#1080;'!H10"/><Relationship Id="rId48" Type="http://schemas.openxmlformats.org/officeDocument/2006/relationships/hyperlink" Target="#'01_&#1044;&#1086;&#1093;&#1086;&#1076;&#1080;'!H10"/><Relationship Id="rId56" Type="http://schemas.openxmlformats.org/officeDocument/2006/relationships/hyperlink" Target="#'01_&#1044;&#1086;&#1093;&#1086;&#1076;&#1080;'!H10"/><Relationship Id="rId64" Type="http://schemas.openxmlformats.org/officeDocument/2006/relationships/hyperlink" Target="#'01_&#1044;&#1086;&#1093;&#1086;&#1076;&#1080;'!H10"/><Relationship Id="rId69" Type="http://schemas.openxmlformats.org/officeDocument/2006/relationships/hyperlink" Target="#'01_&#1044;&#1086;&#1093;&#1086;&#1076;&#1080;'!H10"/><Relationship Id="rId77" Type="http://schemas.openxmlformats.org/officeDocument/2006/relationships/hyperlink" Target="#'01_&#1044;&#1086;&#1093;&#1086;&#1076;&#1080;'!H10"/><Relationship Id="rId8" Type="http://schemas.openxmlformats.org/officeDocument/2006/relationships/hyperlink" Target="#'01_&#1044;&#1086;&#1093;&#1086;&#1076;&#1080;'!H10"/><Relationship Id="rId51" Type="http://schemas.openxmlformats.org/officeDocument/2006/relationships/hyperlink" Target="#'01_&#1044;&#1086;&#1093;&#1086;&#1076;&#1080;'!H10"/><Relationship Id="rId72" Type="http://schemas.openxmlformats.org/officeDocument/2006/relationships/hyperlink" Target="#'01_&#1044;&#1086;&#1093;&#1086;&#1076;&#1080;'!H10"/><Relationship Id="rId80" Type="http://schemas.openxmlformats.org/officeDocument/2006/relationships/hyperlink" Target="#'01_&#1044;&#1086;&#1093;&#1086;&#1076;&#1080;'!H10"/><Relationship Id="rId85" Type="http://schemas.openxmlformats.org/officeDocument/2006/relationships/hyperlink" Target="#'01_&#1044;&#1086;&#1093;&#1086;&#1076;&#1080;'!H10"/><Relationship Id="rId3" Type="http://schemas.openxmlformats.org/officeDocument/2006/relationships/hyperlink" Target="#'01_&#1044;&#1086;&#1093;&#1086;&#1076;&#1080;'!H10"/><Relationship Id="rId12" Type="http://schemas.openxmlformats.org/officeDocument/2006/relationships/hyperlink" Target="#'01_&#1044;&#1086;&#1093;&#1086;&#1076;&#1080;'!H10"/><Relationship Id="rId17" Type="http://schemas.openxmlformats.org/officeDocument/2006/relationships/hyperlink" Target="#'01_&#1044;&#1086;&#1093;&#1086;&#1076;&#1080;'!H10"/><Relationship Id="rId25" Type="http://schemas.openxmlformats.org/officeDocument/2006/relationships/hyperlink" Target="#'01_&#1044;&#1086;&#1093;&#1086;&#1076;&#1080;'!H10"/><Relationship Id="rId33" Type="http://schemas.openxmlformats.org/officeDocument/2006/relationships/hyperlink" Target="#'01_&#1044;&#1086;&#1093;&#1086;&#1076;&#1080;'!H10"/><Relationship Id="rId38" Type="http://schemas.openxmlformats.org/officeDocument/2006/relationships/hyperlink" Target="#'01_&#1044;&#1086;&#1093;&#1086;&#1076;&#1080;'!H10"/><Relationship Id="rId46" Type="http://schemas.openxmlformats.org/officeDocument/2006/relationships/hyperlink" Target="#'01_&#1044;&#1086;&#1093;&#1086;&#1076;&#1080;'!H10"/><Relationship Id="rId59" Type="http://schemas.openxmlformats.org/officeDocument/2006/relationships/hyperlink" Target="#'01_&#1044;&#1086;&#1093;&#1086;&#1076;&#1080;'!H10"/><Relationship Id="rId67" Type="http://schemas.openxmlformats.org/officeDocument/2006/relationships/hyperlink" Target="#'01_&#1044;&#1086;&#1093;&#1086;&#1076;&#1080;'!H10"/><Relationship Id="rId20" Type="http://schemas.openxmlformats.org/officeDocument/2006/relationships/hyperlink" Target="#'01_&#1044;&#1086;&#1093;&#1086;&#1076;&#1080;'!H10"/><Relationship Id="rId41" Type="http://schemas.openxmlformats.org/officeDocument/2006/relationships/hyperlink" Target="#'01_&#1044;&#1086;&#1093;&#1086;&#1076;&#1080;'!H10"/><Relationship Id="rId54" Type="http://schemas.openxmlformats.org/officeDocument/2006/relationships/hyperlink" Target="#'01_&#1044;&#1086;&#1093;&#1086;&#1076;&#1080;'!H10"/><Relationship Id="rId62" Type="http://schemas.openxmlformats.org/officeDocument/2006/relationships/hyperlink" Target="#'01_&#1044;&#1086;&#1093;&#1086;&#1076;&#1080;'!H10"/><Relationship Id="rId70" Type="http://schemas.openxmlformats.org/officeDocument/2006/relationships/hyperlink" Target="#'01_&#1044;&#1086;&#1093;&#1086;&#1076;&#1080;'!H10"/><Relationship Id="rId75" Type="http://schemas.openxmlformats.org/officeDocument/2006/relationships/hyperlink" Target="#'01_&#1044;&#1086;&#1093;&#1086;&#1076;&#1080;'!H10"/><Relationship Id="rId83" Type="http://schemas.openxmlformats.org/officeDocument/2006/relationships/hyperlink" Target="#'01_&#1044;&#1086;&#1093;&#1086;&#1076;&#1080;'!H10"/><Relationship Id="rId1" Type="http://schemas.openxmlformats.org/officeDocument/2006/relationships/hyperlink" Target="#'01_&#1044;&#1086;&#1093;&#1086;&#1076;&#1080;'!H10"/><Relationship Id="rId6" Type="http://schemas.openxmlformats.org/officeDocument/2006/relationships/hyperlink" Target="#'01_&#1044;&#1086;&#1093;&#1086;&#1076;&#1080;'!H10"/><Relationship Id="rId15" Type="http://schemas.openxmlformats.org/officeDocument/2006/relationships/hyperlink" Target="#'01_&#1044;&#1086;&#1093;&#1086;&#1076;&#1080;'!H10"/><Relationship Id="rId23" Type="http://schemas.openxmlformats.org/officeDocument/2006/relationships/hyperlink" Target="#'01_&#1044;&#1086;&#1093;&#1086;&#1076;&#1080;'!H10"/><Relationship Id="rId28" Type="http://schemas.openxmlformats.org/officeDocument/2006/relationships/hyperlink" Target="#'01_&#1044;&#1086;&#1093;&#1086;&#1076;&#1080;'!H10"/><Relationship Id="rId36" Type="http://schemas.openxmlformats.org/officeDocument/2006/relationships/hyperlink" Target="#'01_&#1044;&#1086;&#1093;&#1086;&#1076;&#1080;'!H10"/><Relationship Id="rId49" Type="http://schemas.openxmlformats.org/officeDocument/2006/relationships/hyperlink" Target="#'01_&#1044;&#1086;&#1093;&#1086;&#1076;&#1080;'!H10"/><Relationship Id="rId57" Type="http://schemas.openxmlformats.org/officeDocument/2006/relationships/hyperlink" Target="#'01_&#1044;&#1086;&#1093;&#1086;&#1076;&#1080;'!H10"/><Relationship Id="rId10" Type="http://schemas.openxmlformats.org/officeDocument/2006/relationships/hyperlink" Target="#'01_&#1044;&#1086;&#1093;&#1086;&#1076;&#1080;'!H10"/><Relationship Id="rId31" Type="http://schemas.openxmlformats.org/officeDocument/2006/relationships/hyperlink" Target="#'01_&#1044;&#1086;&#1093;&#1086;&#1076;&#1080;'!H10"/><Relationship Id="rId44" Type="http://schemas.openxmlformats.org/officeDocument/2006/relationships/hyperlink" Target="#'01_&#1044;&#1086;&#1093;&#1086;&#1076;&#1080;'!H10"/><Relationship Id="rId52" Type="http://schemas.openxmlformats.org/officeDocument/2006/relationships/hyperlink" Target="#'01_&#1044;&#1086;&#1093;&#1086;&#1076;&#1080;'!H10"/><Relationship Id="rId60" Type="http://schemas.openxmlformats.org/officeDocument/2006/relationships/hyperlink" Target="#'01_&#1044;&#1086;&#1093;&#1086;&#1076;&#1080;'!H10"/><Relationship Id="rId65" Type="http://schemas.openxmlformats.org/officeDocument/2006/relationships/hyperlink" Target="#'01_&#1044;&#1086;&#1093;&#1086;&#1076;&#1080;'!H10"/><Relationship Id="rId73" Type="http://schemas.openxmlformats.org/officeDocument/2006/relationships/hyperlink" Target="#'01_&#1044;&#1086;&#1093;&#1086;&#1076;&#1080;'!H10"/><Relationship Id="rId78" Type="http://schemas.openxmlformats.org/officeDocument/2006/relationships/hyperlink" Target="#'01_&#1044;&#1086;&#1093;&#1086;&#1076;&#1080;'!H10"/><Relationship Id="rId81" Type="http://schemas.openxmlformats.org/officeDocument/2006/relationships/hyperlink" Target="#'01_&#1044;&#1086;&#1093;&#1086;&#1076;&#1080;'!H10"/><Relationship Id="rId86" Type="http://schemas.openxmlformats.org/officeDocument/2006/relationships/hyperlink" Target="#'01_&#1044;&#1086;&#1093;&#1086;&#1076;&#1080;'!H1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49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3086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0" name="Рисунок 7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1" name="Рисунок 8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2" name="Рисунок 9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3" name="Рисунок 10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4" name="Рисунок 11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5" name="Рисунок 12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6" name="Рисунок 13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20</xdr:row>
      <xdr:rowOff>0</xdr:rowOff>
    </xdr:from>
    <xdr:to>
      <xdr:col>0</xdr:col>
      <xdr:colOff>714375</xdr:colOff>
      <xdr:row>22</xdr:row>
      <xdr:rowOff>314325</xdr:rowOff>
    </xdr:to>
    <xdr:pic>
      <xdr:nvPicPr>
        <xdr:cNvPr id="27657" name="Рисунок 14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0861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58" name="Рисунок 15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0861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59" name="Рисунок 16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60" name="Рисунок 1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1" name="Рисунок 18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62" name="Рисунок 19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3086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3" name="Рисунок 20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4" name="Рисунок 21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5" name="Рисунок 22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6" name="Рисунок 23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67" name="Рисунок 24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68" name="Рисунок 25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69" name="Рисунок 26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70" name="Рисунок 27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1" name="Рисунок 28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72" name="Рисунок 29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3" name="Рисунок 30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4" name="Рисунок 31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5" name="Рисунок 32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6" name="Рисунок 33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77" name="Рисунок 34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0861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8" name="Рисунок 35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79" name="Рисунок 36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0" name="Рисунок 37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1" name="Рисунок 38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2" name="Рисунок 39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3" name="Рисунок 40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4" name="Рисунок 41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5" name="Рисунок 42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6" name="Рисунок 43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7" name="Рисунок 44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88" name="Рисунок 45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89" name="Рисунок 46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20</xdr:row>
      <xdr:rowOff>0</xdr:rowOff>
    </xdr:from>
    <xdr:to>
      <xdr:col>0</xdr:col>
      <xdr:colOff>714375</xdr:colOff>
      <xdr:row>22</xdr:row>
      <xdr:rowOff>314325</xdr:rowOff>
    </xdr:to>
    <xdr:pic>
      <xdr:nvPicPr>
        <xdr:cNvPr id="27690" name="Рисунок 47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3086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1" name="Рисунок 48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2" name="Рисунок 49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3" name="Рисунок 50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94" name="Рисунок 51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5" name="Рисунок 52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96" name="Рисунок 53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7" name="Рисунок 54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698" name="Рисунок 55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3086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699" name="Рисунок 56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0" name="Рисунок 57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1" name="Рисунок 58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2" name="Рисунок 59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3" name="Рисунок 60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4" name="Рисунок 61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5" name="Рисунок 62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6" name="Рисунок 63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707" name="Рисунок 64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3086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708" name="Рисунок 65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3086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09" name="Рисунок 66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710" name="Рисунок 67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20</xdr:row>
      <xdr:rowOff>0</xdr:rowOff>
    </xdr:from>
    <xdr:to>
      <xdr:col>0</xdr:col>
      <xdr:colOff>695325</xdr:colOff>
      <xdr:row>22</xdr:row>
      <xdr:rowOff>314325</xdr:rowOff>
    </xdr:to>
    <xdr:pic>
      <xdr:nvPicPr>
        <xdr:cNvPr id="27711" name="Рисунок 68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3086100"/>
          <a:ext cx="657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2" name="Рисунок 69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3" name="Рисунок 70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4" name="Рисунок 71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5" name="Рисунок 72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6" name="Рисунок 73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7" name="Рисунок 74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8" name="Рисунок 75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19" name="Рисунок 76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0" name="Рисунок 77">
          <a:hlinkClick xmlns:r="http://schemas.openxmlformats.org/officeDocument/2006/relationships" r:id="rId7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1" name="Рисунок 78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2" name="Рисунок 79">
          <a:hlinkClick xmlns:r="http://schemas.openxmlformats.org/officeDocument/2006/relationships" r:id="rId7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3" name="Рисунок 80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4" name="Рисунок 81">
          <a:hlinkClick xmlns:r="http://schemas.openxmlformats.org/officeDocument/2006/relationships" r:id="rId7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5" name="Рисунок 82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6" name="Рисунок 83">
          <a:hlinkClick xmlns:r="http://schemas.openxmlformats.org/officeDocument/2006/relationships" r:id="rId7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7" name="Рисунок 84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8" name="Рисунок 85">
          <a:hlinkClick xmlns:r="http://schemas.openxmlformats.org/officeDocument/2006/relationships" r:id="rId8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29" name="Рисунок 86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30" name="Рисунок 87">
          <a:hlinkClick xmlns:r="http://schemas.openxmlformats.org/officeDocument/2006/relationships" r:id="rId8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31" name="Рисунок 88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32" name="Рисунок 89">
          <a:hlinkClick xmlns:r="http://schemas.openxmlformats.org/officeDocument/2006/relationships" r:id="rId8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676275</xdr:colOff>
      <xdr:row>22</xdr:row>
      <xdr:rowOff>314325</xdr:rowOff>
    </xdr:to>
    <xdr:pic>
      <xdr:nvPicPr>
        <xdr:cNvPr id="27733" name="Рисунок 90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86100"/>
          <a:ext cx="676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20</xdr:row>
      <xdr:rowOff>0</xdr:rowOff>
    </xdr:from>
    <xdr:to>
      <xdr:col>0</xdr:col>
      <xdr:colOff>714375</xdr:colOff>
      <xdr:row>22</xdr:row>
      <xdr:rowOff>314325</xdr:rowOff>
    </xdr:to>
    <xdr:pic>
      <xdr:nvPicPr>
        <xdr:cNvPr id="27734" name="Рисунок 91">
          <a:hlinkClick xmlns:r="http://schemas.openxmlformats.org/officeDocument/2006/relationships" r:id="rId8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3086100"/>
          <a:ext cx="6667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Ariadna/Sum_p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tore\buxtmp\work\COMMON\&#1040;&#1087;&#1072;&#1088;&#1072;&#1090;\&#1050;&#1085;&#1080;&#1075;&#1072;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4;&#1110;&#1090;%20&#1087;&#1088;&#1086;%20&#1076;&#1086;&#1093;&#1086;&#1076;&#1080;%20&#1090;&#1072;%20&#1074;&#1080;&#1090;&#1088;&#1072;&#1090;&#1080;%20&#1043;&#1056;&#1059;&#1044;&#1045;&#1053;&#1068;%20202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52;&#1047;&#1055;-6700-&#1064;&#1090;&#1072;&#1090;&#1080;%20,%20&#1090;&#1072;&#1088;&#1080;&#1092;&#1110;&#1082;&#1072;&#1094;&#1110;&#1103;%2001.10.2022%20-%20&#1079;&#1072;&#1090;&#1074;&#1077;&#1088;&#1076;&#1078;&#1077;&#1085;&#1086;%20&#1085;&#1072;&#1082;&#1072;&#1079;%20355-&#1086;&#1089;-&#1082;%20&#1074;&#1110;&#1076;%2003.10.202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kretar/Downloads/&#1047;&#1074;&#1110;&#1090;%20&#1087;&#1088;&#1086;%20&#1076;&#1086;&#1093;&#1086;&#1076;&#1080;%20&#1090;&#1072;%20&#1074;&#1080;&#1090;&#1088;&#1072;&#1090;&#1080;%20&#1083;&#1080;&#1089;&#1090;&#1086;&#1087;&#1072;&#1076;%20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Links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Setup"/>
      <sheetName val="200"/>
      <sheetName val="1993"/>
      <sheetName val="Лист1"/>
      <sheetName val="МТР все -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додаток до звіту"/>
      <sheetName val="7  інші витрати"/>
    </sheetNames>
    <sheetDataSet>
      <sheetData sheetId="0" refreshError="1"/>
      <sheetData sheetId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7  інші витрати"/>
      <sheetName val="МТР Газ України"/>
      <sheetName val="додаток до звіту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111"/>
    </sheetNames>
    <sheetDataSet>
      <sheetData sheetId="0" refreshError="1">
        <row r="1">
          <cell r="B1" t="str">
            <v>SBK_FIO</v>
          </cell>
          <cell r="C1" t="str">
            <v>INN</v>
          </cell>
          <cell r="D1" t="str">
            <v>SBK_NUM</v>
          </cell>
          <cell r="E1" t="str">
            <v>SBK_SUM</v>
          </cell>
          <cell r="F1" t="str">
            <v>SBK_SHR</v>
          </cell>
          <cell r="G1" t="str">
            <v>SBK_FLR</v>
          </cell>
        </row>
        <row r="2">
          <cell r="B2" t="str">
            <v>АЛЕКСАНДРІНА ТЕТЯНА АНДРІЇВНА</v>
          </cell>
          <cell r="C2" t="str">
            <v>2116803168</v>
          </cell>
          <cell r="D2" t="str">
            <v>26256071271001</v>
          </cell>
        </row>
        <row r="3">
          <cell r="B3" t="str">
            <v>АЛЄШКО ДМИТРО ВАСИЛЬОВИЧ</v>
          </cell>
          <cell r="C3" t="str">
            <v>2813400672</v>
          </cell>
          <cell r="D3" t="str">
            <v>26256082679001</v>
          </cell>
        </row>
        <row r="4">
          <cell r="B4" t="str">
            <v>АНТОНЕНКОВА ГАЛИНА ОЛЕКСАНДРІВНА</v>
          </cell>
          <cell r="C4" t="str">
            <v>1813115784</v>
          </cell>
          <cell r="D4" t="str">
            <v>26259059955001</v>
          </cell>
        </row>
        <row r="5">
          <cell r="B5" t="str">
            <v>АРЕФЕВА ОЛЬГА ЕВГЕНІЇВНА</v>
          </cell>
          <cell r="C5" t="str">
            <v>2205707827</v>
          </cell>
          <cell r="D5" t="str">
            <v>26253059285001</v>
          </cell>
        </row>
        <row r="6">
          <cell r="B6" t="str">
            <v>АРОНОВА МАРІЯ МИКОЛАЇВНА</v>
          </cell>
          <cell r="C6" t="str">
            <v>2383614047</v>
          </cell>
          <cell r="D6" t="str">
            <v>26251064722001</v>
          </cell>
        </row>
        <row r="7">
          <cell r="B7" t="str">
            <v>АРТЕМЕНКО НАТАЛІЯ МИКОЛАЇВНА</v>
          </cell>
          <cell r="C7" t="str">
            <v>2742305863</v>
          </cell>
          <cell r="D7" t="str">
            <v>26256151005001</v>
          </cell>
        </row>
        <row r="8">
          <cell r="B8" t="str">
            <v>БАГАЛІКА ЛАРИСА ВОЛОДИМИРІВНА</v>
          </cell>
          <cell r="C8" t="str">
            <v>2371206088</v>
          </cell>
          <cell r="D8" t="str">
            <v>26255063086001</v>
          </cell>
        </row>
        <row r="9">
          <cell r="B9" t="str">
            <v>БАДЕЙ ОКСАНА ІГОРІВНА</v>
          </cell>
          <cell r="C9" t="str">
            <v>2841315327</v>
          </cell>
          <cell r="D9" t="str">
            <v>26253147197001</v>
          </cell>
        </row>
        <row r="10">
          <cell r="B10" t="str">
            <v>БАЗИКА ДИМИТРІЙ АНАТОЛІЙОВИЧ</v>
          </cell>
          <cell r="C10" t="str">
            <v>1930415455</v>
          </cell>
          <cell r="D10" t="str">
            <v>26254100100001</v>
          </cell>
        </row>
        <row r="11">
          <cell r="B11" t="str">
            <v>БАНЧУК МИКОЛА ВАСИЛЬОВИЧ</v>
          </cell>
          <cell r="C11" t="str">
            <v>2181417211</v>
          </cell>
          <cell r="D11" t="str">
            <v>26258102911001</v>
          </cell>
        </row>
        <row r="12">
          <cell r="B12" t="str">
            <v>БАРАНОВА ЛАРИСА ОЛЕКСАНДРІВНА</v>
          </cell>
          <cell r="C12" t="str">
            <v>2176919908</v>
          </cell>
          <cell r="D12" t="str">
            <v>26253175910001</v>
          </cell>
        </row>
        <row r="13">
          <cell r="B13" t="str">
            <v>БАРАНОВА ТЕТЯНА ВІКТОРІВНА</v>
          </cell>
          <cell r="C13" t="str">
            <v>1974906824</v>
          </cell>
          <cell r="D13" t="str">
            <v>26256063052001</v>
          </cell>
        </row>
        <row r="14">
          <cell r="B14" t="str">
            <v>БЕЗВЕРХА НАДІЯ ІВАНІВНА</v>
          </cell>
          <cell r="C14" t="str">
            <v>2077315821</v>
          </cell>
          <cell r="D14" t="str">
            <v>26256183578001</v>
          </cell>
        </row>
        <row r="15">
          <cell r="B15" t="str">
            <v>БЕЛЧЕНКО ВАЛЕНТИНА МИХАЙЛІВНА</v>
          </cell>
          <cell r="C15" t="str">
            <v>2094823263</v>
          </cell>
          <cell r="D15" t="str">
            <v>26253067664001</v>
          </cell>
        </row>
        <row r="16">
          <cell r="B16" t="str">
            <v>БЕРЕЖНОВ СЕРГІЙ ПЕТРОВИЧ</v>
          </cell>
          <cell r="C16" t="str">
            <v>1797915097</v>
          </cell>
          <cell r="D16" t="str">
            <v>26257063051001</v>
          </cell>
        </row>
        <row r="17">
          <cell r="B17" t="str">
            <v>БЕРЕЗОВА НАДІЯ АНАТОЛІЇВНА</v>
          </cell>
          <cell r="C17" t="str">
            <v>2927209407</v>
          </cell>
          <cell r="D17" t="str">
            <v>26253102035001</v>
          </cell>
        </row>
        <row r="18">
          <cell r="B18" t="str">
            <v>БЄЛОТЕЛОВ МИКОЛА ГЕОРГІЙОВИЧ</v>
          </cell>
          <cell r="C18" t="str">
            <v>1874405851</v>
          </cell>
          <cell r="D18" t="str">
            <v>26258059945001</v>
          </cell>
        </row>
        <row r="19">
          <cell r="B19" t="str">
            <v>БІЛИЙ ВОЛОДИМИР ЯКОВИЧ</v>
          </cell>
          <cell r="C19" t="str">
            <v>1640205233</v>
          </cell>
          <cell r="D19" t="str">
            <v>26258073879001</v>
          </cell>
        </row>
        <row r="20">
          <cell r="B20" t="str">
            <v>БІЛИЙ ОЛЕКСАНДР ВОЛОДИМИРОВИЧ</v>
          </cell>
          <cell r="C20" t="str">
            <v>2636914178</v>
          </cell>
          <cell r="D20" t="str">
            <v>26256117674001</v>
          </cell>
        </row>
        <row r="21">
          <cell r="B21" t="str">
            <v>БІЛОКОНЬ ГАЛИНА ДЕМЯНІВНА</v>
          </cell>
          <cell r="C21" t="str">
            <v>2239011344</v>
          </cell>
          <cell r="D21" t="str">
            <v>26253071025001</v>
          </cell>
        </row>
        <row r="22">
          <cell r="B22" t="str">
            <v>БІЛОЩИЦЬКА НАТАЛІЯ ОЛЕКСІЇВНА</v>
          </cell>
          <cell r="C22" t="str">
            <v>2754216586</v>
          </cell>
          <cell r="D22" t="str">
            <v>26259148189001</v>
          </cell>
        </row>
        <row r="23">
          <cell r="B23" t="str">
            <v>БОГУСЛАВСЬКА ОЛЕКСАНДРА ІГОРІВНА</v>
          </cell>
          <cell r="C23" t="str">
            <v>2300206004</v>
          </cell>
          <cell r="D23" t="str">
            <v>26258059956001</v>
          </cell>
        </row>
        <row r="24">
          <cell r="B24" t="str">
            <v>БОДНАРУК НАТАЛІЯ МИКОЛАЇВНА</v>
          </cell>
          <cell r="C24" t="str">
            <v>2804908962</v>
          </cell>
          <cell r="D24" t="str">
            <v>26257130887001</v>
          </cell>
        </row>
        <row r="25">
          <cell r="B25" t="str">
            <v>БОЙКО ТЕТЯНА ВІТАЛІЇВНА</v>
          </cell>
          <cell r="C25" t="str">
            <v>2718111924</v>
          </cell>
          <cell r="D25" t="str">
            <v>26250064723001</v>
          </cell>
        </row>
        <row r="26">
          <cell r="B26" t="str">
            <v>БОЙЧУК ТАРАС МИКОЛАЙОВИЧ</v>
          </cell>
          <cell r="C26" t="str">
            <v>2418203476</v>
          </cell>
          <cell r="D26" t="str">
            <v>26255085086001</v>
          </cell>
        </row>
        <row r="27">
          <cell r="B27" t="str">
            <v>БОНДАРЕНКО ВОЛОДИМИР ВАСИЛЬОВИЧ</v>
          </cell>
          <cell r="C27" t="str">
            <v>1868104835</v>
          </cell>
          <cell r="D27" t="str">
            <v>26255147689001</v>
          </cell>
        </row>
        <row r="28">
          <cell r="B28" t="str">
            <v>БОРИШКЕВИЧ ЛАРИСА МИХАЙЛІВНА</v>
          </cell>
          <cell r="C28" t="str">
            <v>2180505242</v>
          </cell>
          <cell r="D28" t="str">
            <v>26252189037001</v>
          </cell>
        </row>
        <row r="29">
          <cell r="B29" t="str">
            <v>БУДНІК НЕЛЯ ЛЕОНІДІВНА</v>
          </cell>
          <cell r="C29" t="str">
            <v>2231516248</v>
          </cell>
          <cell r="D29" t="str">
            <v>26255061572001</v>
          </cell>
        </row>
        <row r="30">
          <cell r="B30" t="str">
            <v>БУЛАВКА ЛЮДМИЛА ВАСИЛІВНА</v>
          </cell>
          <cell r="C30" t="str">
            <v>1975013494</v>
          </cell>
          <cell r="D30" t="str">
            <v>26258059967001</v>
          </cell>
        </row>
        <row r="31">
          <cell r="B31" t="str">
            <v>БУРЛАК ГАЛИНА ФЕДОРІВНА</v>
          </cell>
          <cell r="C31" t="str">
            <v>1730405584</v>
          </cell>
          <cell r="D31" t="str">
            <v>26250059288001</v>
          </cell>
        </row>
        <row r="32">
          <cell r="B32" t="str">
            <v>БУТИЛЬСЬКА НЕЛЯ ОЛЕКСАНДРІВНА</v>
          </cell>
          <cell r="C32" t="str">
            <v>2488514283</v>
          </cell>
          <cell r="D32" t="str">
            <v>26254126065001</v>
          </cell>
        </row>
        <row r="33">
          <cell r="B33" t="str">
            <v>ВАКУЛЕНКО ЛЮДМИЛА ЛЕОНІДІВНА</v>
          </cell>
          <cell r="C33" t="str">
            <v>2526105048</v>
          </cell>
          <cell r="D33" t="str">
            <v>26254059938001</v>
          </cell>
        </row>
        <row r="34">
          <cell r="B34" t="str">
            <v>ВАРФОЛОМЄЄВА ТЕТЯНА ОЛЕКСАНДРІВНА</v>
          </cell>
          <cell r="C34" t="str">
            <v>3041314682</v>
          </cell>
          <cell r="D34" t="str">
            <v>26253126066001</v>
          </cell>
        </row>
        <row r="35">
          <cell r="B35" t="str">
            <v>ВАСИЛИШИН РОМАН ЙОСИФОВИЧ</v>
          </cell>
          <cell r="C35" t="str">
            <v>2241416152</v>
          </cell>
          <cell r="D35" t="str">
            <v>26250135544001</v>
          </cell>
        </row>
        <row r="36">
          <cell r="B36" t="str">
            <v>ВАСЯНІН АНДРІЙ ОЛЕКСАНДРОВИЧ</v>
          </cell>
          <cell r="C36" t="str">
            <v>2234906574</v>
          </cell>
          <cell r="D36" t="str">
            <v>26252061564001</v>
          </cell>
        </row>
        <row r="37">
          <cell r="B37" t="str">
            <v>ВЕЛИЧКО ІРИНА МИКОЛАЇВНА</v>
          </cell>
          <cell r="C37" t="str">
            <v>2301407664</v>
          </cell>
          <cell r="D37" t="str">
            <v>26255063075001</v>
          </cell>
        </row>
        <row r="38">
          <cell r="B38" t="str">
            <v>ВЕРЗУН ТЕТЯНА ПЕТРІВНА</v>
          </cell>
          <cell r="C38" t="str">
            <v>2195307649</v>
          </cell>
          <cell r="D38" t="str">
            <v>26257063040001</v>
          </cell>
        </row>
        <row r="39">
          <cell r="B39" t="str">
            <v>ВЕСЕЛЬСЬКИЙ ВІКТОР ЛЕОНІДОВИЧ</v>
          </cell>
          <cell r="C39" t="str">
            <v>2075212634</v>
          </cell>
          <cell r="D39" t="str">
            <v>26254140449001</v>
          </cell>
        </row>
        <row r="40">
          <cell r="B40" t="str">
            <v>ВИДОЛОБ ТЕТЯНА ВАСИЛІВНА</v>
          </cell>
          <cell r="C40" t="str">
            <v>2071106642</v>
          </cell>
          <cell r="D40" t="str">
            <v>26254117676001</v>
          </cell>
        </row>
        <row r="41">
          <cell r="B41" t="str">
            <v>ВИШНЬОВА СВІТЛАНА МИХАЙЛІВНА</v>
          </cell>
          <cell r="C41" t="str">
            <v>1687404029</v>
          </cell>
          <cell r="D41" t="str">
            <v>26258063072001</v>
          </cell>
        </row>
        <row r="42">
          <cell r="B42" t="str">
            <v>ВОВК МАРІЯ ГРИГОРІВНА</v>
          </cell>
          <cell r="C42" t="str">
            <v>1847801241</v>
          </cell>
          <cell r="D42" t="str">
            <v>26252071026001</v>
          </cell>
        </row>
        <row r="43">
          <cell r="B43" t="str">
            <v>ВОВК РІТА ВОЛОДИМИРІВНА</v>
          </cell>
          <cell r="C43" t="str">
            <v>2334802047</v>
          </cell>
          <cell r="D43" t="str">
            <v>26256063041001</v>
          </cell>
        </row>
        <row r="44">
          <cell r="B44" t="str">
            <v>ВОЛІКОВ ВОЛОДИМИР ГЕННАДІЙОВИЧ</v>
          </cell>
          <cell r="C44" t="str">
            <v>2686317093</v>
          </cell>
          <cell r="D44" t="str">
            <v>26255059272001</v>
          </cell>
        </row>
        <row r="45">
          <cell r="B45" t="str">
            <v>ВОЛОДІНА ІРИНА АНАТОЛІЇВНА</v>
          </cell>
          <cell r="C45" t="str">
            <v>2521611641</v>
          </cell>
          <cell r="D45" t="str">
            <v>26251145317001</v>
          </cell>
        </row>
        <row r="46">
          <cell r="B46" t="str">
            <v>ВОЛОСОВЕЦЬ ІРИНА ПЕТРІВНА</v>
          </cell>
          <cell r="C46" t="str">
            <v>2672515006</v>
          </cell>
          <cell r="D46" t="str">
            <v>26250067667001</v>
          </cell>
        </row>
        <row r="47">
          <cell r="B47" t="str">
            <v>ВОЛОСОВЕЦЬ ОЛЕКСАНДР ПЕТРОВИЧ</v>
          </cell>
          <cell r="C47" t="str">
            <v>2254912892</v>
          </cell>
          <cell r="D47" t="str">
            <v>26258059279001</v>
          </cell>
        </row>
        <row r="48">
          <cell r="B48" t="str">
            <v>ВОРСОВСЬКА ЛЮДМИЛА АНАТОЛІЇВНА</v>
          </cell>
          <cell r="C48" t="str">
            <v>1858006406</v>
          </cell>
          <cell r="D48" t="str">
            <v>26255061561001</v>
          </cell>
        </row>
        <row r="49">
          <cell r="B49" t="str">
            <v>ГАБОРЕЦЬ ІВАН ВАСИЛЬОВИЧ</v>
          </cell>
          <cell r="C49" t="str">
            <v>2619902330</v>
          </cell>
          <cell r="D49" t="str">
            <v>26258130886001</v>
          </cell>
        </row>
        <row r="50">
          <cell r="B50" t="str">
            <v>ГАВРИЛЕНКО ЛІДІЯ ІЛЛІВНА</v>
          </cell>
          <cell r="C50" t="str">
            <v>1943407161</v>
          </cell>
          <cell r="D50" t="str">
            <v>26257063062001</v>
          </cell>
        </row>
        <row r="51">
          <cell r="B51" t="str">
            <v>ГАВРИЛЬЧЕНКО АНДРІЙ ВІТАЛІЙОВИЧ</v>
          </cell>
          <cell r="C51" t="str">
            <v>2852907156</v>
          </cell>
          <cell r="D51" t="str">
            <v>26252190543001</v>
          </cell>
        </row>
        <row r="52">
          <cell r="B52" t="str">
            <v>ГАЖАМАН ТЕТЯНА ОЛЕКСАНДРІВНА</v>
          </cell>
          <cell r="C52" t="str">
            <v>2433610745</v>
          </cell>
          <cell r="D52" t="str">
            <v>26251067666001</v>
          </cell>
        </row>
        <row r="53">
          <cell r="B53" t="str">
            <v>ГАЙДАЄВ ЮРІЙ ОЛЕКСАНДРОВИЧ</v>
          </cell>
          <cell r="C53" t="str">
            <v>1994917136</v>
          </cell>
          <cell r="D53" t="str">
            <v>26257143915001</v>
          </cell>
        </row>
        <row r="54">
          <cell r="B54" t="str">
            <v>ГАЛІМСЬКИЙ ОЛЕКСІЙ ВАЛЕРІЙОВИЧ</v>
          </cell>
          <cell r="C54" t="str">
            <v>2852708579</v>
          </cell>
          <cell r="D54" t="str">
            <v>26253117677001</v>
          </cell>
        </row>
        <row r="55">
          <cell r="B55" t="str">
            <v>ГАСЮК ГАЛИНА ІГОРІВНА</v>
          </cell>
          <cell r="C55" t="str">
            <v>2926018325</v>
          </cell>
          <cell r="D55" t="str">
            <v>26254102034001</v>
          </cell>
        </row>
        <row r="56">
          <cell r="B56" t="str">
            <v>ГЛОГОВ'ЯК ОЛЬГА ВАСИЛІВНА</v>
          </cell>
          <cell r="C56" t="str">
            <v>2141814768</v>
          </cell>
          <cell r="D56" t="str">
            <v>26255121393001</v>
          </cell>
        </row>
        <row r="57">
          <cell r="B57" t="str">
            <v>ГОНТА ТЕТЯНА МИКОЛАЇВНА</v>
          </cell>
          <cell r="C57" t="str">
            <v>2063620040</v>
          </cell>
          <cell r="D57" t="str">
            <v>26256061559001</v>
          </cell>
        </row>
        <row r="58">
          <cell r="B58" t="str">
            <v>ГОНЧАРУК ОЛЬГА БОРИСІВНА</v>
          </cell>
          <cell r="C58" t="str">
            <v>2237204207</v>
          </cell>
          <cell r="D58" t="str">
            <v>26259063060001</v>
          </cell>
        </row>
        <row r="59">
          <cell r="B59" t="str">
            <v>ГОРБАНЬ ЄВГЕН МИКОЛАЙОВИЧ</v>
          </cell>
          <cell r="C59" t="str">
            <v>1638702958</v>
          </cell>
          <cell r="D59" t="str">
            <v>26256067661001</v>
          </cell>
        </row>
        <row r="60">
          <cell r="B60" t="str">
            <v>ГОСТИЩЕВ ДМИТРО АНАТОЛІЙОВИЧ</v>
          </cell>
          <cell r="C60" t="str">
            <v>2929219871</v>
          </cell>
          <cell r="D60" t="str">
            <v>26255074774001</v>
          </cell>
        </row>
        <row r="61">
          <cell r="B61" t="str">
            <v>ГРИГОРЕНКО АЛЛА АНАТОЛІЇВНА</v>
          </cell>
          <cell r="C61" t="str">
            <v>2192313023</v>
          </cell>
          <cell r="D61" t="str">
            <v>26250073877001</v>
          </cell>
        </row>
        <row r="62">
          <cell r="B62" t="str">
            <v>ГРИГОРОВИЧ ВАСИЛЬ РОМАНОВИЧ</v>
          </cell>
          <cell r="C62" t="str">
            <v>2078118438</v>
          </cell>
          <cell r="D62" t="str">
            <v>26257061570001</v>
          </cell>
        </row>
        <row r="63">
          <cell r="B63" t="str">
            <v>ГУСЕЛЕТОВА НАТАЛІЯ ВОЛОДИМИРІВНА</v>
          </cell>
          <cell r="C63" t="str">
            <v>1857415385</v>
          </cell>
          <cell r="D63" t="str">
            <v>26250074661001</v>
          </cell>
        </row>
        <row r="64">
          <cell r="B64" t="str">
            <v>ДАХНЮК ІРИНА ЄВГЕНІВНА</v>
          </cell>
          <cell r="C64" t="str">
            <v>2158103468</v>
          </cell>
          <cell r="D64" t="str">
            <v>26251059953001</v>
          </cell>
        </row>
        <row r="65">
          <cell r="B65" t="str">
            <v>ДЕГТЯРЕВА РАЇСА МИХАЙЛІВНА</v>
          </cell>
          <cell r="C65" t="str">
            <v>2213409742</v>
          </cell>
          <cell r="D65" t="str">
            <v>26257073881001</v>
          </cell>
        </row>
        <row r="66">
          <cell r="B66" t="str">
            <v>ДЕНИСЕНКО ГАЛИНА АНАТОЛІЇВНА</v>
          </cell>
          <cell r="C66" t="str">
            <v>2078116844</v>
          </cell>
          <cell r="D66" t="str">
            <v>26259061567001</v>
          </cell>
        </row>
        <row r="67">
          <cell r="B67" t="str">
            <v>ДЕРЕБАСОВ ОЛЕКСАНДР ВІКТОРОВИЧ</v>
          </cell>
          <cell r="C67" t="str">
            <v>2028318234</v>
          </cell>
          <cell r="D67" t="str">
            <v>26252107406001</v>
          </cell>
        </row>
        <row r="68">
          <cell r="B68" t="str">
            <v>ДЕРИБОН ОЛЕНА ЛЕОНІДІВНА</v>
          </cell>
          <cell r="C68" t="str">
            <v>2716220682</v>
          </cell>
          <cell r="D68" t="str">
            <v>26253081918001</v>
          </cell>
        </row>
        <row r="69">
          <cell r="B69" t="str">
            <v>ДЗЮБА ОЛЕКСАНДР МИКОЛАЙОВИЧ</v>
          </cell>
          <cell r="C69" t="str">
            <v>2081309555</v>
          </cell>
          <cell r="D69" t="str">
            <v>26251088388001</v>
          </cell>
        </row>
        <row r="70">
          <cell r="B70" t="str">
            <v>ДИШЛОВИЙ ІГОР МИКОЛАЙОВИЧ</v>
          </cell>
          <cell r="C70" t="str">
            <v>2241501857</v>
          </cell>
          <cell r="D70" t="str">
            <v>26258063083001</v>
          </cell>
        </row>
        <row r="71">
          <cell r="B71" t="str">
            <v>ДОЛОТ ВОЛОДИМИР ДЕНИСОВИЧ</v>
          </cell>
          <cell r="C71" t="str">
            <v>2162706458</v>
          </cell>
          <cell r="D71" t="str">
            <v>26250067656001</v>
          </cell>
        </row>
        <row r="72">
          <cell r="B72" t="str">
            <v>ДОМБРОВСЬКА ВАЛЕНТИНА ВАСИЛІВНА</v>
          </cell>
          <cell r="C72" t="str">
            <v>1934803161</v>
          </cell>
          <cell r="D72" t="str">
            <v>26252067654001</v>
          </cell>
        </row>
        <row r="73">
          <cell r="B73" t="str">
            <v>ДУШ ІРИНА АНДРІЇВНА</v>
          </cell>
          <cell r="C73" t="str">
            <v>2085109322</v>
          </cell>
          <cell r="D73" t="str">
            <v>26254063043001</v>
          </cell>
        </row>
        <row r="74">
          <cell r="B74" t="str">
            <v>ДЯК ЮЛІЯ МИХАЙЛІВНА</v>
          </cell>
          <cell r="C74" t="str">
            <v>2794417520</v>
          </cell>
          <cell r="D74" t="str">
            <v>26252121136001</v>
          </cell>
        </row>
        <row r="75">
          <cell r="B75" t="str">
            <v>ДЯЧЕНКО НАТАЛІЯ ВАСИЛІВНА</v>
          </cell>
          <cell r="C75" t="str">
            <v>2014707522</v>
          </cell>
          <cell r="D75" t="str">
            <v>26254063065001</v>
          </cell>
        </row>
        <row r="76">
          <cell r="B76" t="str">
            <v>ЄМЕЦЬ МАРІЯ АДАМІВНА</v>
          </cell>
          <cell r="C76" t="str">
            <v>1863703328</v>
          </cell>
          <cell r="D76" t="str">
            <v>26257059968001</v>
          </cell>
        </row>
        <row r="77">
          <cell r="B77" t="str">
            <v>ЄМЕЦЬ ПЕТРО ВОЛОДИМИРОВИЧ</v>
          </cell>
          <cell r="C77" t="str">
            <v>2966609017</v>
          </cell>
          <cell r="D77" t="str">
            <v>26251107407001</v>
          </cell>
        </row>
        <row r="78">
          <cell r="B78" t="str">
            <v>ЄФІМЕНКО ОЛЕНА ВОЛОДИМИРІВНА</v>
          </cell>
          <cell r="C78" t="str">
            <v>2313714666</v>
          </cell>
          <cell r="D78" t="str">
            <v>26252076515001</v>
          </cell>
        </row>
        <row r="79">
          <cell r="B79" t="str">
            <v>ЖАРОВА ДАР'Я ОЛЕКСАНДРІВНА</v>
          </cell>
          <cell r="C79" t="str">
            <v>2975612901</v>
          </cell>
          <cell r="D79" t="str">
            <v>26259151723001</v>
          </cell>
        </row>
        <row r="80">
          <cell r="B80" t="str">
            <v>ЖДАНОВА МИРОСЛАВА ПЕТРІВНА</v>
          </cell>
          <cell r="C80" t="str">
            <v>2006314467</v>
          </cell>
          <cell r="D80" t="str">
            <v>26259067668001</v>
          </cell>
        </row>
        <row r="81">
          <cell r="B81" t="str">
            <v>ЖИЛКА НАДІЯ ЯКІВНА</v>
          </cell>
          <cell r="C81" t="str">
            <v>2053307045</v>
          </cell>
          <cell r="D81" t="str">
            <v>26254059972001</v>
          </cell>
        </row>
        <row r="82">
          <cell r="B82" t="str">
            <v>ЖОВТУХА МИРОСЛАВА АНДРІЇВНА</v>
          </cell>
          <cell r="C82" t="str">
            <v>1916907201</v>
          </cell>
          <cell r="D82" t="str">
            <v>26254061562001</v>
          </cell>
        </row>
        <row r="83">
          <cell r="B83" t="str">
            <v>ЗАГОРОДНІЙ ВОЛОДИМИР ВАСИЛЬОВИЧ</v>
          </cell>
          <cell r="C83" t="str">
            <v>1818411071</v>
          </cell>
          <cell r="D83" t="str">
            <v>26253071274001</v>
          </cell>
        </row>
        <row r="84">
          <cell r="B84" t="str">
            <v>ЗАЛАТА ОЛЕГ АНАТОЛІЙОВИЧ</v>
          </cell>
          <cell r="C84" t="str">
            <v>2421701697</v>
          </cell>
          <cell r="D84" t="str">
            <v>26257071269001</v>
          </cell>
        </row>
        <row r="85">
          <cell r="B85" t="str">
            <v>ЗАЛЕВСЬКА ВАЛЕНТИНА АНАНІЇВНА</v>
          </cell>
          <cell r="C85" t="str">
            <v>2035915704</v>
          </cell>
          <cell r="D85" t="str">
            <v>26252063045001</v>
          </cell>
        </row>
        <row r="86">
          <cell r="B86" t="str">
            <v>ЗАЧЕК ЛЮБОВ МИКОЛАПВНА</v>
          </cell>
          <cell r="C86" t="str">
            <v>1917602520</v>
          </cell>
          <cell r="D86" t="str">
            <v>26255081916001</v>
          </cell>
        </row>
        <row r="87">
          <cell r="B87" t="str">
            <v>ЗЕЛІНСЬКИЙ АНДРІЙ МИКОЛАЙОВИЧ</v>
          </cell>
          <cell r="C87" t="str">
            <v>2983512293</v>
          </cell>
          <cell r="D87" t="str">
            <v>26252088495001</v>
          </cell>
        </row>
        <row r="88">
          <cell r="B88" t="str">
            <v>ЗІНКОВСЬКИЙ МИХАЙЛО ФРАНЦЕВИЧ</v>
          </cell>
          <cell r="C88" t="str">
            <v>1382810958</v>
          </cell>
          <cell r="D88" t="str">
            <v>26258074663001</v>
          </cell>
        </row>
        <row r="89">
          <cell r="B89" t="str">
            <v>ЗІНЧЕНКО ОЛЕНА МИКОЛАЇВНА</v>
          </cell>
          <cell r="C89" t="str">
            <v>2661000329</v>
          </cell>
          <cell r="D89" t="str">
            <v>26256143916001</v>
          </cell>
        </row>
        <row r="90">
          <cell r="B90" t="str">
            <v>ЗОЗУЛЯ ЛАРИСА МИКОЛАЇВНА</v>
          </cell>
          <cell r="C90" t="str">
            <v>1865503982</v>
          </cell>
          <cell r="D90" t="str">
            <v>26256059969001</v>
          </cell>
        </row>
        <row r="91">
          <cell r="B91" t="str">
            <v>ЗРЕЗАРЦЕВ МАКСИМ БОРИСОВИЧ</v>
          </cell>
          <cell r="C91" t="str">
            <v>2285403638</v>
          </cell>
          <cell r="D91" t="str">
            <v>26254071273001</v>
          </cell>
        </row>
        <row r="92">
          <cell r="B92" t="str">
            <v>ЗУБКО ОЛЕНА АНДРІЇВНА</v>
          </cell>
          <cell r="C92" t="str">
            <v>2074303764</v>
          </cell>
          <cell r="D92" t="str">
            <v>26254059284001</v>
          </cell>
        </row>
        <row r="93">
          <cell r="B93" t="str">
            <v>ІВАНКІВ РОМАН ІВАНОВИЧ</v>
          </cell>
          <cell r="C93" t="str">
            <v>2415509934</v>
          </cell>
          <cell r="D93" t="str">
            <v>26254059949001</v>
          </cell>
        </row>
        <row r="94">
          <cell r="B94" t="str">
            <v>ІВАСЮК ВАЛЕРІЙ ПЕТРОВИЧ</v>
          </cell>
          <cell r="C94" t="str">
            <v>2144106613</v>
          </cell>
          <cell r="D94" t="str">
            <v>26255145926001</v>
          </cell>
        </row>
        <row r="95">
          <cell r="B95" t="str">
            <v>ІВЧУК ВОЛОДИМИР ГРИГОРОВИЧ</v>
          </cell>
          <cell r="C95" t="str">
            <v>2567211612</v>
          </cell>
          <cell r="D95" t="str">
            <v>26257150362001</v>
          </cell>
        </row>
        <row r="96">
          <cell r="B96" t="str">
            <v>ІЛЯШОВА СВІТЛАНА ІВАНІВНА</v>
          </cell>
          <cell r="C96" t="str">
            <v>2328706865</v>
          </cell>
          <cell r="D96" t="str">
            <v>26258187260001</v>
          </cell>
        </row>
        <row r="97">
          <cell r="B97" t="str">
            <v>КАЛИТА ІРИНА АЛІМІВНА</v>
          </cell>
          <cell r="C97" t="str">
            <v>2500315681</v>
          </cell>
          <cell r="D97" t="str">
            <v>26257151855001</v>
          </cell>
        </row>
        <row r="98">
          <cell r="B98" t="str">
            <v>КАПУСТЯК ВАСИЛЬ ІВАНОВИЧ</v>
          </cell>
          <cell r="C98" t="str">
            <v>2406702858</v>
          </cell>
          <cell r="D98" t="str">
            <v>26254063054001</v>
          </cell>
        </row>
        <row r="99">
          <cell r="B99" t="str">
            <v>КАРАМУШКА ЛАРИСА ІЛЛІВНА</v>
          </cell>
          <cell r="C99" t="str">
            <v>2068808542</v>
          </cell>
          <cell r="D99" t="str">
            <v>26251073876001</v>
          </cell>
        </row>
        <row r="100">
          <cell r="B100" t="str">
            <v>КАРНАУХОВА ТЕТЯНА ВОЛОДИМИРІВНА</v>
          </cell>
          <cell r="C100" t="str">
            <v>2363205487</v>
          </cell>
          <cell r="D100" t="str">
            <v>26257063073001</v>
          </cell>
        </row>
        <row r="101">
          <cell r="B101" t="str">
            <v>КАРПІНСЬКА ЛЕСЯ ГРИГОРІВНА</v>
          </cell>
          <cell r="C101" t="str">
            <v>2162003168</v>
          </cell>
          <cell r="D101" t="str">
            <v>26253178478001</v>
          </cell>
        </row>
        <row r="102">
          <cell r="B102" t="str">
            <v>КАШТАЛЬЯН МАРИНА МИХАЙЛІВНА</v>
          </cell>
          <cell r="C102" t="str">
            <v>2884707265</v>
          </cell>
          <cell r="D102" t="str">
            <v>26251190544001</v>
          </cell>
        </row>
        <row r="103">
          <cell r="B103" t="str">
            <v>КВАРТИЧ ІРИНА МИКОЛАЇВНА</v>
          </cell>
          <cell r="C103" t="str">
            <v>2307613226</v>
          </cell>
          <cell r="D103" t="str">
            <v>26258063050001</v>
          </cell>
        </row>
        <row r="104">
          <cell r="B104" t="str">
            <v>КЕБКАЛО ТАМАРА ВАСИЛІВНА</v>
          </cell>
          <cell r="C104" t="str">
            <v>1716746302</v>
          </cell>
          <cell r="D104" t="str">
            <v>26258059280001</v>
          </cell>
        </row>
        <row r="105">
          <cell r="B105" t="str">
            <v>КІРІЧЕНКО НІНА СТЕПАНІВНА</v>
          </cell>
          <cell r="C105" t="str">
            <v>2039706585</v>
          </cell>
          <cell r="D105" t="str">
            <v>26256059970001</v>
          </cell>
        </row>
        <row r="106">
          <cell r="B106" t="str">
            <v>КІТУАШВІЛІ ЛАРИСА ІВАНІВНА</v>
          </cell>
          <cell r="C106" t="str">
            <v>2606618543</v>
          </cell>
          <cell r="D106" t="str">
            <v>26252117162001</v>
          </cell>
        </row>
        <row r="107">
          <cell r="B107" t="str">
            <v>КЛИМАК АНТОН АНАТОЛІЙОВИЧ</v>
          </cell>
          <cell r="C107" t="str">
            <v>3035803758</v>
          </cell>
          <cell r="D107" t="str">
            <v>26259128916001</v>
          </cell>
        </row>
        <row r="108">
          <cell r="B108" t="str">
            <v>КЛІШЕВИЧ ІГОР ПАВЛОВИЧ</v>
          </cell>
          <cell r="C108" t="str">
            <v>1735005176</v>
          </cell>
          <cell r="D108" t="str">
            <v>26256059958001</v>
          </cell>
        </row>
        <row r="109">
          <cell r="B109" t="str">
            <v>КЛОПЕНКО ГАННА ІВАНІВНА</v>
          </cell>
          <cell r="C109" t="str">
            <v>2385307208</v>
          </cell>
          <cell r="D109" t="str">
            <v>26250063058001</v>
          </cell>
        </row>
        <row r="110">
          <cell r="B110" t="str">
            <v>КЛОЧЕНКО ІГОР ВАСИЛЬОВИЧ</v>
          </cell>
          <cell r="C110" t="str">
            <v>2380210795</v>
          </cell>
          <cell r="D110" t="str">
            <v>26259145319001</v>
          </cell>
        </row>
        <row r="111">
          <cell r="B111" t="str">
            <v>КОВАЛЕНКО ОЛЬГА ФЕДОРІВНА</v>
          </cell>
          <cell r="C111" t="str">
            <v>2083514483</v>
          </cell>
          <cell r="D111" t="str">
            <v>26251061576001</v>
          </cell>
        </row>
        <row r="112">
          <cell r="B112" t="str">
            <v>КОВАЛЕНКО ТЕТЯНА ОЛЕКСАНДРІВНА</v>
          </cell>
          <cell r="C112" t="str">
            <v>1949307729</v>
          </cell>
          <cell r="D112" t="str">
            <v>26256059271001</v>
          </cell>
        </row>
        <row r="113">
          <cell r="B113" t="str">
            <v>КОВАЛЬСЬКА НАТАЛІЯ ВОЛОДИМИРІВНА</v>
          </cell>
          <cell r="C113" t="str">
            <v>2832401764</v>
          </cell>
          <cell r="D113" t="str">
            <v>26259063071001</v>
          </cell>
        </row>
        <row r="114">
          <cell r="B114" t="str">
            <v>КОВАЛЬЧУК ГАЛИНА СЕМЕНІВНА</v>
          </cell>
          <cell r="C114" t="str">
            <v>1719006743</v>
          </cell>
          <cell r="D114" t="str">
            <v>26252059286001</v>
          </cell>
        </row>
        <row r="115">
          <cell r="B115" t="str">
            <v>КОВАЛЬЧУК МАРІЯ ВАСИЛІВНА</v>
          </cell>
          <cell r="C115" t="str">
            <v>2351306148</v>
          </cell>
          <cell r="D115" t="str">
            <v>26255063064001</v>
          </cell>
        </row>
        <row r="116">
          <cell r="B116" t="str">
            <v>КОВАЛЬЧУК ОЛЕКСАНДР ПЕТРОВИЧ</v>
          </cell>
          <cell r="C116" t="str">
            <v>2851620973</v>
          </cell>
          <cell r="D116" t="str">
            <v>26259088391001</v>
          </cell>
        </row>
        <row r="117">
          <cell r="B117" t="str">
            <v>КОГУТ ОКСАНА ПАВЛІВНА</v>
          </cell>
          <cell r="C117" t="str">
            <v>2236318508</v>
          </cell>
          <cell r="D117" t="str">
            <v>26254067663001</v>
          </cell>
        </row>
        <row r="118">
          <cell r="B118" t="str">
            <v>КОЛЕСНИК СВІТЛАНА ІВАНІВНА</v>
          </cell>
          <cell r="C118" t="str">
            <v>2662017548</v>
          </cell>
          <cell r="D118" t="str">
            <v>26259063059001</v>
          </cell>
        </row>
        <row r="119">
          <cell r="B119" t="str">
            <v>КОЛЛЯКОВ РОМАН ОЛЕКСІЙОВИЧ</v>
          </cell>
          <cell r="C119" t="str">
            <v>2908909577</v>
          </cell>
          <cell r="D119" t="str">
            <v>26252189714001</v>
          </cell>
        </row>
        <row r="120">
          <cell r="B120" t="str">
            <v>КОЛЛЯКОВА ОЛЬГА МИХАЙЛІВНА</v>
          </cell>
          <cell r="C120" t="str">
            <v>2008011805</v>
          </cell>
          <cell r="D120" t="str">
            <v>26258067658001</v>
          </cell>
        </row>
        <row r="121">
          <cell r="B121" t="str">
            <v>КОМАНДИШКО ОЛЕГ УСТИНОВИЧ</v>
          </cell>
          <cell r="C121" t="str">
            <v>1796103553</v>
          </cell>
          <cell r="D121" t="str">
            <v>26253076514001</v>
          </cell>
        </row>
        <row r="122">
          <cell r="B122" t="str">
            <v>КОМАРОВ МИХАЙЛО ПЕТРОВИЧ</v>
          </cell>
          <cell r="C122" t="str">
            <v>2350402810</v>
          </cell>
          <cell r="D122" t="str">
            <v>26251067655001</v>
          </cell>
        </row>
        <row r="123">
          <cell r="B123" t="str">
            <v>КОНДРАШОВА ЮЛІЯ ЮРІЇВНА</v>
          </cell>
          <cell r="C123" t="str">
            <v>3014716961</v>
          </cell>
          <cell r="D123" t="str">
            <v>26258100098001</v>
          </cell>
        </row>
        <row r="124">
          <cell r="B124" t="str">
            <v>КОНОНЕНКО ХРИСТИНА ВІКТОРІВНА</v>
          </cell>
          <cell r="C124" t="str">
            <v>3017117601</v>
          </cell>
          <cell r="D124" t="str">
            <v>26254081917001</v>
          </cell>
        </row>
        <row r="125">
          <cell r="B125" t="str">
            <v>КОНОПЕЛЬКО ОЛЕНА ГЕОРГІЇВНА</v>
          </cell>
          <cell r="C125" t="str">
            <v>2381603245</v>
          </cell>
          <cell r="D125" t="str">
            <v>26258118701001</v>
          </cell>
        </row>
        <row r="126">
          <cell r="B126" t="str">
            <v>КОРНІЄНКО МИКОЛА МИКОЛАЙОВИЧ</v>
          </cell>
          <cell r="C126" t="str">
            <v>1958602213</v>
          </cell>
          <cell r="D126" t="str">
            <v>26257071270001</v>
          </cell>
        </row>
        <row r="127">
          <cell r="B127" t="str">
            <v>КОРОЛЬ АНДРІЙ ОЛЕКСІЙОВИЧ</v>
          </cell>
          <cell r="C127" t="str">
            <v>2350203110</v>
          </cell>
          <cell r="D127" t="str">
            <v>26259116713001</v>
          </cell>
        </row>
        <row r="128">
          <cell r="B128" t="str">
            <v>КОРОЛЬ ОЛЕНА ВОЛОДИМИРІВНА</v>
          </cell>
          <cell r="C128" t="str">
            <v>2885600968</v>
          </cell>
          <cell r="D128" t="str">
            <v>26254181442001</v>
          </cell>
        </row>
        <row r="129">
          <cell r="B129" t="str">
            <v>КОСИНСЬКА НАТАЛІЯ РОСТИСЛАВІВНА</v>
          </cell>
          <cell r="C129" t="str">
            <v>2806106903</v>
          </cell>
          <cell r="D129" t="str">
            <v>26252128968001</v>
          </cell>
        </row>
        <row r="130">
          <cell r="B130" t="str">
            <v>КОСТЮЧЕНКО НІНА МИКОЛАЇВНА</v>
          </cell>
          <cell r="C130" t="str">
            <v>2666010687</v>
          </cell>
          <cell r="D130" t="str">
            <v>26252059963001</v>
          </cell>
        </row>
        <row r="131">
          <cell r="B131" t="str">
            <v>КОЧЕТ ОЛЕКСАНДР МИХАЙЛОВИЧ</v>
          </cell>
          <cell r="C131" t="str">
            <v>2095713903</v>
          </cell>
          <cell r="D131" t="str">
            <v>26251135543001</v>
          </cell>
        </row>
        <row r="132">
          <cell r="B132" t="str">
            <v>КРАВЧЕНКО ВОЛОДИМИР</v>
          </cell>
          <cell r="C132" t="str">
            <v>2018910237</v>
          </cell>
          <cell r="D132" t="str">
            <v>26258067647001</v>
          </cell>
        </row>
        <row r="133">
          <cell r="B133" t="str">
            <v>КРАМСЬКА НАТАЛІЯ МИКОЛАЇВНА</v>
          </cell>
          <cell r="C133" t="str">
            <v>2001115889</v>
          </cell>
          <cell r="D133" t="str">
            <v>26251063068001</v>
          </cell>
        </row>
        <row r="134">
          <cell r="B134" t="str">
            <v>КРАСНОЖОН ЛЮДМИЛА МИКОЛАЇВНА</v>
          </cell>
          <cell r="C134" t="str">
            <v>1967803341</v>
          </cell>
          <cell r="D134" t="str">
            <v>26259059278001</v>
          </cell>
        </row>
        <row r="135">
          <cell r="B135" t="str">
            <v>КРАСНОЩОК АНДРІЙ ІВАНОВИЧ</v>
          </cell>
          <cell r="C135" t="str">
            <v>2559815398</v>
          </cell>
          <cell r="D135" t="str">
            <v>26252059275001</v>
          </cell>
        </row>
        <row r="136">
          <cell r="B136" t="str">
            <v>КРИВЕНКО ЛЮДМИЛА ЛЕОНІДІВНА</v>
          </cell>
          <cell r="C136" t="str">
            <v>1953111906</v>
          </cell>
          <cell r="D136" t="str">
            <v>26250063069001</v>
          </cell>
        </row>
        <row r="137">
          <cell r="B137" t="str">
            <v>КРОХМАЛЮК ЛЮБОМИР ВАЛЕРІЙОВИЧ</v>
          </cell>
          <cell r="C137" t="str">
            <v>2927211076</v>
          </cell>
          <cell r="D137" t="str">
            <v>26259145320001</v>
          </cell>
        </row>
        <row r="138">
          <cell r="B138" t="str">
            <v>КРУТІКОВ ДМИТРО СЕРГІЙОВИЧ</v>
          </cell>
          <cell r="C138" t="str">
            <v>2878100390</v>
          </cell>
          <cell r="D138" t="str">
            <v>26257187261001</v>
          </cell>
        </row>
        <row r="139">
          <cell r="B139" t="str">
            <v>КУДЛАЙ ОЛЬГА ПИЛИПІВНА</v>
          </cell>
          <cell r="C139" t="str">
            <v>1835916103</v>
          </cell>
          <cell r="D139" t="str">
            <v>26251071027001</v>
          </cell>
        </row>
        <row r="140">
          <cell r="B140" t="str">
            <v>КУЗИМЧАК ТЕТЯНА ВОЛОДИМИРІВНА</v>
          </cell>
          <cell r="C140" t="str">
            <v>2900522147</v>
          </cell>
          <cell r="D140" t="str">
            <v>26255121133001</v>
          </cell>
        </row>
        <row r="141">
          <cell r="B141" t="str">
            <v>КУЛАКОВСЬКА ОЛЕНА ЮРІЇВНА</v>
          </cell>
          <cell r="C141" t="str">
            <v>2341306060</v>
          </cell>
          <cell r="D141" t="str">
            <v>26255151006001</v>
          </cell>
        </row>
        <row r="142">
          <cell r="B142" t="str">
            <v>КУХАРЧУК НАТАЛІЯ СЕРГІЇВНА</v>
          </cell>
          <cell r="C142" t="str">
            <v>2952114623</v>
          </cell>
          <cell r="D142" t="str">
            <v>26250185839001</v>
          </cell>
        </row>
        <row r="143">
          <cell r="B143" t="str">
            <v>ЛАВРОНЕНКО ІРИНА ВОЛОДИМИРІВНА</v>
          </cell>
          <cell r="C143" t="str">
            <v>2324903804</v>
          </cell>
          <cell r="D143" t="str">
            <v>26252063078001</v>
          </cell>
        </row>
        <row r="144">
          <cell r="B144" t="str">
            <v>ЛАПЕНКО ТЕТЯНА АНДРІЇВНА</v>
          </cell>
          <cell r="C144" t="str">
            <v>1394202900</v>
          </cell>
          <cell r="D144" t="str">
            <v>26256076511001</v>
          </cell>
        </row>
        <row r="145">
          <cell r="B145" t="str">
            <v>ЛАПУШЕНКО ОЛЬГА ВАСИЛІВНА</v>
          </cell>
          <cell r="C145" t="str">
            <v>2032107106</v>
          </cell>
          <cell r="D145" t="str">
            <v>26250072674001</v>
          </cell>
        </row>
        <row r="146">
          <cell r="B146" t="str">
            <v>ЛЕВІНА АНТОНІНА ЛУКІВНА</v>
          </cell>
          <cell r="C146" t="str">
            <v>2342406049</v>
          </cell>
          <cell r="D146" t="str">
            <v>26255147690001</v>
          </cell>
        </row>
        <row r="147">
          <cell r="B147" t="str">
            <v>ЛЕВЧЕНКО ЮЛІЯ ВОЛОДИМИРІВНА</v>
          </cell>
          <cell r="C147" t="str">
            <v>2518913886</v>
          </cell>
          <cell r="D147" t="str">
            <v>26256081915001</v>
          </cell>
        </row>
        <row r="148">
          <cell r="B148" t="str">
            <v>ЛИХОТОП РОСТИСЛАВ ЙОСИПОВИЧ</v>
          </cell>
          <cell r="C148" t="str">
            <v>2112512458</v>
          </cell>
          <cell r="D148" t="str">
            <v>26250059943001</v>
          </cell>
        </row>
        <row r="149">
          <cell r="B149" t="str">
            <v>ЛОЄНКО ЄВГЕН ОЛЕКСАНДРОВИЧ</v>
          </cell>
          <cell r="C149" t="str">
            <v>2726509592</v>
          </cell>
          <cell r="D149" t="str">
            <v>26250145318001</v>
          </cell>
        </row>
        <row r="150">
          <cell r="B150" t="str">
            <v>ЛОЙ ВАЛЕНТИНА МИКОЛАЇВНА</v>
          </cell>
          <cell r="C150" t="str">
            <v>2429014449</v>
          </cell>
          <cell r="D150" t="str">
            <v>26258187259001</v>
          </cell>
        </row>
        <row r="151">
          <cell r="B151" t="str">
            <v>ЛУЗАН ВАЛЕНТИНА ІВАНІВНА</v>
          </cell>
          <cell r="C151" t="str">
            <v>2079906004</v>
          </cell>
          <cell r="D151" t="str">
            <v>26258063061001</v>
          </cell>
        </row>
        <row r="152">
          <cell r="B152" t="str">
            <v>ЛУКАНЬОВ ЛЕОНІД ГЕННАДІЙОВИЧ</v>
          </cell>
          <cell r="C152" t="str">
            <v>2435409313</v>
          </cell>
          <cell r="D152" t="str">
            <v>26253189713001</v>
          </cell>
        </row>
        <row r="153">
          <cell r="B153" t="str">
            <v>ЛУПЕЙ-ТКАЧ СВІТЛАНА ІВАНІВНА</v>
          </cell>
          <cell r="C153" t="str">
            <v>2700417601</v>
          </cell>
          <cell r="D153" t="str">
            <v>26254067652001</v>
          </cell>
        </row>
        <row r="154">
          <cell r="B154" t="str">
            <v>ЛЮТОВА НАТАЛІЯ ВОЛОДИМИРІВНА</v>
          </cell>
          <cell r="C154" t="str">
            <v>1988017544</v>
          </cell>
          <cell r="D154" t="str">
            <v>26256063085001</v>
          </cell>
        </row>
        <row r="155">
          <cell r="B155" t="str">
            <v>МАЖАК ІРИНА МИХАЙЛІВНА</v>
          </cell>
          <cell r="C155" t="str">
            <v>2819012968</v>
          </cell>
          <cell r="D155" t="str">
            <v>26253059940001</v>
          </cell>
        </row>
        <row r="156">
          <cell r="B156" t="str">
            <v>МАНДУЛА РОМАН МИХАЙЛОВИЧ</v>
          </cell>
          <cell r="C156" t="str">
            <v>2904920152</v>
          </cell>
          <cell r="D156" t="str">
            <v>26250088389001</v>
          </cell>
        </row>
        <row r="157">
          <cell r="B157" t="str">
            <v>МАРМОРОШ ІГОР ВІКТОРОВИЧ</v>
          </cell>
          <cell r="C157" t="str">
            <v>2808403136</v>
          </cell>
          <cell r="D157" t="str">
            <v>26250125800001</v>
          </cell>
        </row>
        <row r="158">
          <cell r="B158" t="str">
            <v>МАРУНИЧ ВОЛОДИМИР ВАСИЛЬОВИЧ</v>
          </cell>
          <cell r="C158" t="str">
            <v>1776907370</v>
          </cell>
          <cell r="D158" t="str">
            <v>26252064721001</v>
          </cell>
        </row>
        <row r="159">
          <cell r="B159" t="str">
            <v>МАРЧЕНКО ВАЛЕНТИНА ОЛЕКСАНДРІВНА</v>
          </cell>
          <cell r="C159" t="str">
            <v>2305215164</v>
          </cell>
          <cell r="D159" t="str">
            <v>26250101976001</v>
          </cell>
        </row>
        <row r="160">
          <cell r="B160" t="str">
            <v>МАХНЮК ВАЛЕНТИНА МИХАЙЛІВНА</v>
          </cell>
          <cell r="C160" t="str">
            <v>2459304724</v>
          </cell>
          <cell r="D160" t="str">
            <v>26258059268001</v>
          </cell>
        </row>
        <row r="161">
          <cell r="B161" t="str">
            <v>МЕЛЬНИК ЮРІЙ ВІКТОРОВИЧ</v>
          </cell>
          <cell r="C161" t="str">
            <v>1619612054</v>
          </cell>
          <cell r="D161" t="str">
            <v>26252067665001</v>
          </cell>
        </row>
        <row r="162">
          <cell r="B162" t="str">
            <v>МЕНЬШИКОВА ІРИНА ОЛЕКСАНДРІВНА</v>
          </cell>
          <cell r="C162" t="str">
            <v>1775210489</v>
          </cell>
          <cell r="D162" t="str">
            <v>26251063057001</v>
          </cell>
        </row>
        <row r="163">
          <cell r="B163" t="str">
            <v>МИРОШНИЧЕНКО ВІКТОР ВОЛОДИМИРОВИЧ</v>
          </cell>
          <cell r="C163" t="str">
            <v>2757613350</v>
          </cell>
          <cell r="D163" t="str">
            <v>26255148291001</v>
          </cell>
        </row>
        <row r="164">
          <cell r="B164" t="str">
            <v>МИХАЛЬЧУК ВАСИЛЬ</v>
          </cell>
          <cell r="C164" t="str">
            <v>1961203615</v>
          </cell>
          <cell r="D164" t="str">
            <v>26257067648001</v>
          </cell>
        </row>
        <row r="165">
          <cell r="B165" t="str">
            <v>МИШКОВСЬКА АНТОНІНА АНДРІЇВНА</v>
          </cell>
          <cell r="C165" t="str">
            <v>2264114004</v>
          </cell>
          <cell r="D165" t="str">
            <v>26255059960001</v>
          </cell>
        </row>
        <row r="166">
          <cell r="B166" t="str">
            <v>МІРОШНІЧЕНКО ВІРА ЛЕОНІДІВНА</v>
          </cell>
          <cell r="C166" t="str">
            <v>2174417823</v>
          </cell>
          <cell r="D166" t="str">
            <v>26256063074001</v>
          </cell>
        </row>
        <row r="167">
          <cell r="B167" t="str">
            <v>МОІСЕЄНКО РАЇСА ОЛЕКСАНДРІВНА</v>
          </cell>
          <cell r="C167" t="str">
            <v>2335806848</v>
          </cell>
          <cell r="D167" t="str">
            <v>26250059954001</v>
          </cell>
        </row>
        <row r="168">
          <cell r="B168" t="str">
            <v>МОРАЧОВ ОЛЕКСАНДР ВОЛОДИМИРОВИЧ</v>
          </cell>
          <cell r="C168" t="str">
            <v>2607606531</v>
          </cell>
          <cell r="D168" t="str">
            <v>26254121134001</v>
          </cell>
        </row>
        <row r="169">
          <cell r="B169" t="str">
            <v>МОРОЗ НАТАЛІЯ АДАМІВНА</v>
          </cell>
          <cell r="C169" t="str">
            <v>2014207886</v>
          </cell>
          <cell r="D169" t="str">
            <v>26254063076001</v>
          </cell>
        </row>
        <row r="170">
          <cell r="B170" t="str">
            <v>МОРОЗ ТЕТЯНА ЮРІЇВНА</v>
          </cell>
          <cell r="C170" t="str">
            <v>2674208061</v>
          </cell>
          <cell r="D170" t="str">
            <v>26252185398001</v>
          </cell>
        </row>
        <row r="171">
          <cell r="B171" t="str">
            <v>МОТЮК МИРОСЛАВ ПАВЛОВИЧ</v>
          </cell>
          <cell r="C171" t="str">
            <v>1841408551</v>
          </cell>
          <cell r="D171" t="str">
            <v>26259059290001</v>
          </cell>
        </row>
        <row r="172">
          <cell r="B172" t="str">
            <v>МУРАВСЬКА ІННА ПЕТРІВНА</v>
          </cell>
          <cell r="C172" t="str">
            <v>2574009046</v>
          </cell>
          <cell r="D172" t="str">
            <v>26250128915001</v>
          </cell>
        </row>
        <row r="173">
          <cell r="B173" t="str">
            <v>МУРАШКОВСЬКА ОЛЕНА СЕМЕНІВНА</v>
          </cell>
          <cell r="C173" t="str">
            <v>2983510302</v>
          </cell>
          <cell r="D173" t="str">
            <v>26254059273001</v>
          </cell>
        </row>
        <row r="174">
          <cell r="B174" t="str">
            <v>МУХАРСЬКА ЛЮДМИЛА МИРОСЛАВІВНА</v>
          </cell>
          <cell r="C174" t="str">
            <v>2077406665</v>
          </cell>
          <cell r="D174" t="str">
            <v>26252059952001</v>
          </cell>
        </row>
        <row r="175">
          <cell r="B175" t="str">
            <v>НАДУТИЙ КОСТЯНТИН ОЛЕКСАНДРОВИЧ</v>
          </cell>
          <cell r="C175" t="str">
            <v>2097712978</v>
          </cell>
          <cell r="D175" t="str">
            <v>26250128971001</v>
          </cell>
        </row>
        <row r="176">
          <cell r="B176" t="str">
            <v>НЕСТЕРЧУК МИХАЙЛО МИТРОФАНОВИЧ</v>
          </cell>
          <cell r="C176" t="str">
            <v>2250200434</v>
          </cell>
          <cell r="D176" t="str">
            <v>26255079092001</v>
          </cell>
        </row>
        <row r="177">
          <cell r="B177" t="str">
            <v>НЮХІНА ПОЛІНА ОЛЕКСАНДРІВНА</v>
          </cell>
          <cell r="C177" t="str">
            <v>3038118144</v>
          </cell>
          <cell r="D177" t="str">
            <v>26253121135001</v>
          </cell>
        </row>
        <row r="178">
          <cell r="B178" t="str">
            <v>ОЛІЙНИК НАДІЯ АРТЕМІВНА</v>
          </cell>
          <cell r="C178" t="str">
            <v>1829422345</v>
          </cell>
          <cell r="D178" t="str">
            <v>26259059267001</v>
          </cell>
        </row>
        <row r="179">
          <cell r="B179" t="str">
            <v>ОМЕЛЬЧУК СВІТЛАНА АНАТОЛІЇВНА</v>
          </cell>
          <cell r="C179" t="str">
            <v>2290304120</v>
          </cell>
          <cell r="D179" t="str">
            <v>26259059289001</v>
          </cell>
        </row>
        <row r="180">
          <cell r="B180" t="str">
            <v>ОНИЩУК ІРИНА ВІКТОРІВНА</v>
          </cell>
          <cell r="C180" t="str">
            <v>2856819306</v>
          </cell>
          <cell r="D180" t="str">
            <v>26255059948001</v>
          </cell>
        </row>
        <row r="181">
          <cell r="B181" t="str">
            <v>ОПЕРОВЕЦЬ СЕРГІЙ ВОЛОДИМИРОВИЧ</v>
          </cell>
          <cell r="C181" t="str">
            <v>2571708031</v>
          </cell>
          <cell r="D181" t="str">
            <v>26256059947001</v>
          </cell>
        </row>
        <row r="182">
          <cell r="B182" t="str">
            <v>ОСТАШКО СВІТЛАНА ІВАНІВНА</v>
          </cell>
          <cell r="C182" t="str">
            <v>2510404501</v>
          </cell>
          <cell r="D182" t="str">
            <v>26257076510001</v>
          </cell>
        </row>
        <row r="183">
          <cell r="B183" t="str">
            <v>ОСТРОПОЛЕЦЬ НАТАЛIЯ АНДРIЄВНА</v>
          </cell>
          <cell r="C183" t="str">
            <v>2171214720</v>
          </cell>
          <cell r="D183" t="str">
            <v>26254148991001</v>
          </cell>
        </row>
        <row r="184">
          <cell r="B184" t="str">
            <v>ПIНЧУК ВЯЧЕСЛАВ СТАНIСЛАВОВИЧ</v>
          </cell>
          <cell r="C184" t="str">
            <v>2602011176</v>
          </cell>
          <cell r="D184" t="str">
            <v>26250088390001</v>
          </cell>
        </row>
        <row r="185">
          <cell r="B185" t="str">
            <v>ПАВЕЛКО НЕЛІ ЮРІЇВНА</v>
          </cell>
          <cell r="C185" t="str">
            <v>2261216983</v>
          </cell>
          <cell r="D185" t="str">
            <v>26259145836001</v>
          </cell>
        </row>
        <row r="186">
          <cell r="B186" t="str">
            <v>ПАВЛЕНКО ВІРА ФЕДОРІВНА</v>
          </cell>
          <cell r="C186" t="str">
            <v>2023906786</v>
          </cell>
          <cell r="D186" t="str">
            <v>26251063046001</v>
          </cell>
        </row>
        <row r="187">
          <cell r="B187" t="str">
            <v>ПАВЛОВСЬКА НАДІЯ МИХАЙЛІВНА</v>
          </cell>
          <cell r="C187" t="str">
            <v>1417102845</v>
          </cell>
          <cell r="D187" t="str">
            <v>26259063048001</v>
          </cell>
        </row>
        <row r="188">
          <cell r="B188" t="str">
            <v>ПАВЛЮК ІННА ІВАНІВНА</v>
          </cell>
          <cell r="C188" t="str">
            <v>2996908106</v>
          </cell>
          <cell r="D188" t="str">
            <v>26257129241001</v>
          </cell>
        </row>
        <row r="189">
          <cell r="B189" t="str">
            <v>ПАДЧЕНКО АНАТОЛІЙ ГРИГОРОВИЧ</v>
          </cell>
          <cell r="C189" t="str">
            <v>1942916455</v>
          </cell>
          <cell r="D189" t="str">
            <v>26259059966001</v>
          </cell>
        </row>
        <row r="190">
          <cell r="B190" t="str">
            <v>ПАНЧЕНКО ВАЛЕНТИНА СТЕПАНІВНА</v>
          </cell>
          <cell r="C190" t="str">
            <v>1811519368</v>
          </cell>
          <cell r="D190" t="str">
            <v>26255059959001</v>
          </cell>
        </row>
        <row r="191">
          <cell r="B191" t="str">
            <v>ПАРАЩУК ЛЕСЯ ВАСИЛІВНА</v>
          </cell>
          <cell r="C191" t="str">
            <v>2847208148</v>
          </cell>
          <cell r="D191" t="str">
            <v>26253079094001</v>
          </cell>
        </row>
        <row r="192">
          <cell r="B192" t="str">
            <v>ПАРУБЕЦЬ ЄВГЕН ПЕТРОВИЧ</v>
          </cell>
          <cell r="C192" t="str">
            <v>2934917010</v>
          </cell>
          <cell r="D192" t="str">
            <v>26255121218001</v>
          </cell>
        </row>
        <row r="193">
          <cell r="B193" t="str">
            <v>ПАРХОМЕНКО ВІРА МИКОЛАЇВНА</v>
          </cell>
          <cell r="C193" t="str">
            <v>1827609326</v>
          </cell>
          <cell r="D193" t="str">
            <v>26253063077001</v>
          </cell>
        </row>
        <row r="194">
          <cell r="B194" t="str">
            <v>ПАСІЧНИК МИХАЙЛО ФРАНЦОВИЧ</v>
          </cell>
          <cell r="C194" t="str">
            <v>2301121934</v>
          </cell>
          <cell r="D194" t="str">
            <v>26251074659001</v>
          </cell>
        </row>
        <row r="195">
          <cell r="B195" t="str">
            <v>ПЕДАН ВАЛЕНТИНА БОРИСІВНА</v>
          </cell>
          <cell r="C195" t="str">
            <v>1899413869</v>
          </cell>
          <cell r="D195" t="str">
            <v>26253059973001</v>
          </cell>
        </row>
        <row r="196">
          <cell r="B196" t="str">
            <v>ПЕДЧЕНКО ТИМУР ВІКТОРОВИЧ</v>
          </cell>
          <cell r="C196" t="str">
            <v>2416201354</v>
          </cell>
          <cell r="D196" t="str">
            <v>26256061571001</v>
          </cell>
        </row>
        <row r="197">
          <cell r="B197" t="str">
            <v>ПЕРЕКОПАЙКО МИКОЛА ВАСИЛЬВИЧ</v>
          </cell>
          <cell r="C197" t="str">
            <v>2087209374</v>
          </cell>
          <cell r="D197" t="str">
            <v>26250140164001</v>
          </cell>
        </row>
        <row r="198">
          <cell r="B198" t="str">
            <v>ПЕТРАШЕНКО ПЕТРО РОМАНОВИЧ</v>
          </cell>
          <cell r="C198" t="str">
            <v>1809006898</v>
          </cell>
          <cell r="D198" t="str">
            <v>26255067662001</v>
          </cell>
        </row>
        <row r="199">
          <cell r="B199" t="str">
            <v>ПЕТРОВА КАТЕРИНА ІВАНІВНА</v>
          </cell>
          <cell r="C199" t="str">
            <v>2431712940</v>
          </cell>
          <cell r="D199" t="str">
            <v>26255117675001</v>
          </cell>
        </row>
        <row r="200">
          <cell r="B200" t="str">
            <v>ПЕТРУК ДМИТРО АНАТОЛІЙОВИЧ</v>
          </cell>
          <cell r="C200" t="str">
            <v>2070506374</v>
          </cell>
          <cell r="D200" t="str">
            <v>26251059287001</v>
          </cell>
        </row>
        <row r="201">
          <cell r="B201" t="str">
            <v>ПІДАЄВ АНДРІЙ ВОЛОДИМИРОВИЧ</v>
          </cell>
          <cell r="C201" t="str">
            <v>2252712139</v>
          </cell>
          <cell r="D201" t="str">
            <v>26250072673002</v>
          </cell>
        </row>
        <row r="202">
          <cell r="B202" t="str">
            <v>ПІДАЄВ АНДРІЙ ВОЛОДИМИРОВИЧ</v>
          </cell>
          <cell r="C202" t="str">
            <v>2252712139</v>
          </cell>
          <cell r="D202" t="str">
            <v>26251072673001</v>
          </cell>
        </row>
        <row r="203">
          <cell r="B203" t="str">
            <v>ПІДГОРНА ЛЮДМИЛА МИХАЙЛІВНА</v>
          </cell>
          <cell r="C203" t="str">
            <v>2142607960</v>
          </cell>
          <cell r="D203" t="str">
            <v>26258061579001</v>
          </cell>
        </row>
        <row r="204">
          <cell r="B204" t="str">
            <v>ПЛАТОВ СЕРГІЙ МИХАЙЛОВИЧ</v>
          </cell>
          <cell r="C204" t="str">
            <v>2256303691</v>
          </cell>
          <cell r="D204" t="str">
            <v>26251182875001</v>
          </cell>
        </row>
        <row r="205">
          <cell r="B205" t="str">
            <v>ПОДРУШНЯК ВАЛЕНТИНА БОРИСІВНА</v>
          </cell>
          <cell r="C205" t="str">
            <v>1862402646</v>
          </cell>
          <cell r="D205" t="str">
            <v>26257059281001</v>
          </cell>
        </row>
        <row r="206">
          <cell r="B206" t="str">
            <v>ПОЛИВАНИЙ АРТЕМ ІВАНОВИЧ</v>
          </cell>
          <cell r="C206" t="str">
            <v>2970218332</v>
          </cell>
          <cell r="D206" t="str">
            <v>26257119819001</v>
          </cell>
        </row>
        <row r="207">
          <cell r="B207" t="str">
            <v>ПОЛІЩУК КАТЕРИНА ВАСИЛІВНА</v>
          </cell>
          <cell r="C207" t="str">
            <v>2152506284</v>
          </cell>
          <cell r="D207" t="str">
            <v>26252063067001</v>
          </cell>
        </row>
        <row r="208">
          <cell r="B208" t="str">
            <v>ПОЛІЩУК МИКОЛА ЄФРЕМОВИЧ</v>
          </cell>
          <cell r="C208" t="str">
            <v>1619301539</v>
          </cell>
          <cell r="D208" t="str">
            <v>26251113800001</v>
          </cell>
        </row>
        <row r="209">
          <cell r="B209" t="str">
            <v>ПОЛІЩУК ЮРІЙ БОРИСОВИЧ</v>
          </cell>
          <cell r="C209" t="str">
            <v>2056103731</v>
          </cell>
          <cell r="D209" t="str">
            <v>26256143143001</v>
          </cell>
        </row>
        <row r="210">
          <cell r="B210" t="str">
            <v>ПОНОМАРЕНКО АНАТОЛІЙ МИКОЛАЙОВИЧ</v>
          </cell>
          <cell r="C210" t="str">
            <v>2089518051</v>
          </cell>
          <cell r="D210" t="str">
            <v>26250086808001</v>
          </cell>
        </row>
        <row r="211">
          <cell r="B211" t="str">
            <v>ПОПОВА ОЛЕНА ОЛЕКСАНДРІВНА</v>
          </cell>
          <cell r="C211" t="str">
            <v>2422614361</v>
          </cell>
          <cell r="D211" t="str">
            <v>26255059937001</v>
          </cell>
        </row>
        <row r="212">
          <cell r="B212" t="str">
            <v>ПРИДАЧУК НАТАЛІЯ МИХАЙЛІВНА</v>
          </cell>
          <cell r="C212" t="str">
            <v>2285016782</v>
          </cell>
          <cell r="D212" t="str">
            <v>26251059276001</v>
          </cell>
        </row>
        <row r="213">
          <cell r="B213" t="str">
            <v>ПРИМАЧОК МИКОЛА ЯКОВИЧ</v>
          </cell>
          <cell r="C213" t="str">
            <v>1787605317</v>
          </cell>
          <cell r="D213" t="str">
            <v>26251059964001</v>
          </cell>
        </row>
        <row r="214">
          <cell r="B214" t="str">
            <v>ПРИХОДЬКО АЛЛА ОЛЕКСАНДРІВНА</v>
          </cell>
          <cell r="C214" t="str">
            <v>2624910408</v>
          </cell>
          <cell r="D214" t="str">
            <v>26254059950001</v>
          </cell>
        </row>
        <row r="215">
          <cell r="B215" t="str">
            <v>ПРОЙДАК МАРИНА МИХАЙЛІВНА</v>
          </cell>
          <cell r="C215" t="str">
            <v>2254806462</v>
          </cell>
          <cell r="D215" t="str">
            <v>26257100099001</v>
          </cell>
        </row>
        <row r="216">
          <cell r="B216" t="str">
            <v>ПРОКОПЕНКО АНАСТАСІЯ ОЛЕКСАНДРІВНА</v>
          </cell>
          <cell r="C216" t="str">
            <v>2109807864</v>
          </cell>
          <cell r="D216" t="str">
            <v>26258063049001</v>
          </cell>
        </row>
        <row r="217">
          <cell r="B217" t="str">
            <v>ПУЗИРЕНКО ОЛЕНА ГЕОРГІЇВНА</v>
          </cell>
          <cell r="C217" t="str">
            <v>2202008369</v>
          </cell>
          <cell r="D217" t="str">
            <v>26253063055001</v>
          </cell>
        </row>
        <row r="218">
          <cell r="B218" t="str">
            <v>ПЯТНИЦЬКИЙ ЮРІЙ СЕРГІЙОВИЧ</v>
          </cell>
          <cell r="C218" t="str">
            <v>2608411438</v>
          </cell>
          <cell r="D218" t="str">
            <v>26258184360001</v>
          </cell>
        </row>
        <row r="219">
          <cell r="B219" t="str">
            <v>РАДКЕВИЧ НАТАЛЯ ВІКТОРІВНА</v>
          </cell>
          <cell r="C219" t="str">
            <v>2779911907</v>
          </cell>
          <cell r="D219" t="str">
            <v>26259074662001</v>
          </cell>
        </row>
        <row r="220">
          <cell r="B220" t="str">
            <v>РАХАЛЬСЬКА ГАННА ВОЛОДИМИРІВНА</v>
          </cell>
          <cell r="C220" t="str">
            <v>2948218649</v>
          </cell>
          <cell r="D220" t="str">
            <v>26255105115001</v>
          </cell>
        </row>
        <row r="221">
          <cell r="B221" t="str">
            <v>РИБЧУК ВІКТОР ОЛЕКСАНДРОВИЧ</v>
          </cell>
          <cell r="C221" t="str">
            <v>2179603052</v>
          </cell>
          <cell r="D221" t="str">
            <v>26254115593001</v>
          </cell>
        </row>
        <row r="222">
          <cell r="B222" t="str">
            <v>РИНГАЧ НАТАЛІЯ ОЛЕСАНДРІВНА</v>
          </cell>
          <cell r="C222" t="str">
            <v>2210817984</v>
          </cell>
          <cell r="D222" t="str">
            <v>26251059942001</v>
          </cell>
        </row>
        <row r="223">
          <cell r="B223" t="str">
            <v>РІБУН ЛАРИСА ВОЛОДИМИРІВНА</v>
          </cell>
          <cell r="C223" t="str">
            <v>2935122949</v>
          </cell>
          <cell r="D223" t="str">
            <v>26252102036001</v>
          </cell>
        </row>
        <row r="224">
          <cell r="B224" t="str">
            <v>РОЗЕНТАЛЬ НАДІЯ СЕРГІЇВНА</v>
          </cell>
          <cell r="C224" t="str">
            <v>1802411902</v>
          </cell>
          <cell r="D224" t="str">
            <v>26254059961001</v>
          </cell>
        </row>
        <row r="225">
          <cell r="B225" t="str">
            <v>РОМАШКО СЕРГІЙ ВОЛОДИМИРОВИЧ</v>
          </cell>
          <cell r="C225" t="str">
            <v>2523814437</v>
          </cell>
          <cell r="D225" t="str">
            <v>26252059941001</v>
          </cell>
        </row>
        <row r="226">
          <cell r="B226" t="str">
            <v>РУБЕКО СВІТЛАНА СЕРГІЇВНА</v>
          </cell>
          <cell r="C226" t="str">
            <v>1512815648</v>
          </cell>
          <cell r="D226" t="str">
            <v>26259140820001</v>
          </cell>
        </row>
        <row r="227">
          <cell r="B227" t="str">
            <v>САДОВА ОКСАНА ІВАНІВНА</v>
          </cell>
          <cell r="C227" t="str">
            <v>2046806229</v>
          </cell>
          <cell r="D227" t="str">
            <v>26255067651001</v>
          </cell>
        </row>
        <row r="228">
          <cell r="B228" t="str">
            <v>САДЧИКОВ МИКОЛА ВАСИЛЬОВИЧ</v>
          </cell>
          <cell r="C228" t="str">
            <v>1899393513</v>
          </cell>
          <cell r="D228" t="str">
            <v>26251061565001</v>
          </cell>
        </row>
        <row r="229">
          <cell r="B229" t="str">
            <v>САЙДОВА ОЛЕНА ВІКТОРІВНА</v>
          </cell>
          <cell r="C229" t="str">
            <v>2279522108</v>
          </cell>
          <cell r="D229" t="str">
            <v>26258096771001</v>
          </cell>
        </row>
        <row r="230">
          <cell r="B230" t="str">
            <v>САЙКО РІММА ВОЛОДИМИРІВНА</v>
          </cell>
          <cell r="C230" t="str">
            <v>2486013704</v>
          </cell>
          <cell r="D230" t="str">
            <v>26256085085001</v>
          </cell>
        </row>
        <row r="231">
          <cell r="B231" t="str">
            <v>САКАЛИ МИХАЙЛО ВОЛОДИМИРОВИЧ</v>
          </cell>
          <cell r="C231" t="str">
            <v>2077905811</v>
          </cell>
          <cell r="D231" t="str">
            <v>26253185397001</v>
          </cell>
        </row>
        <row r="232">
          <cell r="B232" t="str">
            <v>САКАЛЬСЬКА ОЛЬГА ПЕТРІВНА</v>
          </cell>
          <cell r="C232" t="str">
            <v>2157021188</v>
          </cell>
          <cell r="D232" t="str">
            <v>26259104435001</v>
          </cell>
        </row>
        <row r="233">
          <cell r="B233" t="str">
            <v>САЛІЄНКО ІГОР АНАТОЛІЙОВИЧ</v>
          </cell>
          <cell r="C233" t="str">
            <v>2878017594</v>
          </cell>
          <cell r="D233" t="str">
            <v>26258140821001</v>
          </cell>
        </row>
        <row r="234">
          <cell r="B234" t="str">
            <v>САЛМАНОВ АЙДИН ГУРБАН ОГЛИ</v>
          </cell>
          <cell r="C234" t="str">
            <v>2091100050</v>
          </cell>
          <cell r="D234" t="str">
            <v>26252151407001</v>
          </cell>
        </row>
        <row r="235">
          <cell r="B235" t="str">
            <v>САЛО НАДІЯ ЙОСИФІВНА</v>
          </cell>
          <cell r="C235" t="str">
            <v>2597706205</v>
          </cell>
          <cell r="D235" t="str">
            <v>26259059944001</v>
          </cell>
        </row>
        <row r="236">
          <cell r="B236" t="str">
            <v>САПРОНОВА СВІТЛАНА ДМИТРІВНА</v>
          </cell>
          <cell r="C236" t="str">
            <v>1838817629</v>
          </cell>
          <cell r="D236" t="str">
            <v>26251063079001</v>
          </cell>
        </row>
        <row r="237">
          <cell r="B237" t="str">
            <v>САПУГА ІРИНА ЄВГЕНІЇВНА</v>
          </cell>
          <cell r="C237" t="str">
            <v>1946116560</v>
          </cell>
          <cell r="D237" t="str">
            <v>26257059270001</v>
          </cell>
        </row>
        <row r="238">
          <cell r="B238" t="str">
            <v>СЕМЕНЧЕНКО ГЕННАДІЙ БОРИСОВИЧ</v>
          </cell>
          <cell r="C238" t="str">
            <v>2546700814</v>
          </cell>
          <cell r="D238" t="str">
            <v>26257063084001</v>
          </cell>
        </row>
        <row r="239">
          <cell r="B239" t="str">
            <v>СЕМЕНЧЕНКО ОКСАНА ГРИГОРІВНА</v>
          </cell>
          <cell r="C239" t="str">
            <v>2547704684</v>
          </cell>
          <cell r="D239" t="str">
            <v>26250063070001</v>
          </cell>
        </row>
        <row r="240">
          <cell r="B240" t="str">
            <v>СЕМЕНЧУК ЯРОСЛАВА МИХАЙЛІВНА</v>
          </cell>
          <cell r="C240" t="str">
            <v>2639102888</v>
          </cell>
          <cell r="D240" t="str">
            <v>26258073880001</v>
          </cell>
        </row>
        <row r="241">
          <cell r="B241" t="str">
            <v>СЕМЕРУНЬ ІРИНА ВАЛЕРІЇВНА</v>
          </cell>
          <cell r="C241" t="str">
            <v>2298916927</v>
          </cell>
          <cell r="D241" t="str">
            <v>26258071268001</v>
          </cell>
        </row>
        <row r="242">
          <cell r="B242" t="str">
            <v>СЕНАТОВ ОЛЕГ ВІКТОРОВИЧ</v>
          </cell>
          <cell r="C242" t="str">
            <v>2393605533</v>
          </cell>
          <cell r="D242" t="str">
            <v>26259130841001</v>
          </cell>
        </row>
        <row r="243">
          <cell r="B243" t="str">
            <v>СИДОРОВА ОЛЬГА БОРИСІВНА</v>
          </cell>
          <cell r="C243" t="str">
            <v>2085618820</v>
          </cell>
          <cell r="D243" t="str">
            <v>26253063044001</v>
          </cell>
        </row>
        <row r="244">
          <cell r="B244" t="str">
            <v>СИНЕЛЬНИК СВІТЛАНА ВАСИЛІВНА</v>
          </cell>
          <cell r="C244" t="str">
            <v>2143507964</v>
          </cell>
          <cell r="D244" t="str">
            <v>26256067649001</v>
          </cell>
        </row>
        <row r="245">
          <cell r="B245" t="str">
            <v>СИТЕНКО МИХАЙЛО АНТОНОВИЧ</v>
          </cell>
          <cell r="C245" t="str">
            <v>1870317415</v>
          </cell>
          <cell r="D245" t="str">
            <v>26257059269001</v>
          </cell>
        </row>
        <row r="246">
          <cell r="B246" t="str">
            <v>СІБІР ЖАННА АНАТОЛІЇВНА</v>
          </cell>
          <cell r="C246" t="str">
            <v>2553304788</v>
          </cell>
          <cell r="D246" t="str">
            <v>26253067653001</v>
          </cell>
        </row>
        <row r="247">
          <cell r="B247" t="str">
            <v>СКИДОНЕНКО НАТАЛІЯ МИХАЙЛІВНА</v>
          </cell>
          <cell r="C247" t="str">
            <v>2370609467</v>
          </cell>
          <cell r="D247" t="str">
            <v>26251063080001</v>
          </cell>
        </row>
        <row r="248">
          <cell r="B248" t="str">
            <v>СКРИПНИК АНАТОЛІЙ ПЕТРОВИЧ</v>
          </cell>
          <cell r="C248" t="str">
            <v>1849105817</v>
          </cell>
          <cell r="D248" t="str">
            <v>26255059283001</v>
          </cell>
        </row>
        <row r="249">
          <cell r="B249" t="str">
            <v>СКРИПНИК ІВАННА ВЯЧЕСЛАВІВНА</v>
          </cell>
          <cell r="C249" t="str">
            <v>2933618388</v>
          </cell>
          <cell r="D249" t="str">
            <v>26254061573001</v>
          </cell>
        </row>
        <row r="250">
          <cell r="B250" t="str">
            <v>СКРИПНЮК ПЕТРО ОЛЕКСІЙОВИЧ</v>
          </cell>
          <cell r="C250" t="str">
            <v>1726202658</v>
          </cell>
          <cell r="D250" t="str">
            <v>26250059965001</v>
          </cell>
        </row>
        <row r="251">
          <cell r="B251" t="str">
            <v>СКРИПЧЕНКО НАТАЛІЯ ВАСИЛІВНА</v>
          </cell>
          <cell r="C251" t="str">
            <v>2683011521</v>
          </cell>
          <cell r="D251" t="str">
            <v>26253151008001</v>
          </cell>
        </row>
        <row r="252">
          <cell r="B252" t="str">
            <v>СЛЮСАР СВІТЛАНА БОРИСІВНА</v>
          </cell>
          <cell r="C252" t="str">
            <v>2488309169</v>
          </cell>
          <cell r="D252" t="str">
            <v>26255119479001</v>
          </cell>
        </row>
        <row r="253">
          <cell r="B253" t="str">
            <v>СМІРНОВА ОЛЬГА СЕРГІЇВНА</v>
          </cell>
          <cell r="C253" t="str">
            <v>2705313566</v>
          </cell>
          <cell r="D253" t="str">
            <v>26256147688001</v>
          </cell>
        </row>
        <row r="254">
          <cell r="B254" t="str">
            <v>СНІСАРЬ ВАЛЕНТИН ФЕДОРОВИЧ</v>
          </cell>
          <cell r="C254" t="str">
            <v>2240422094</v>
          </cell>
          <cell r="D254" t="str">
            <v>26251142332001</v>
          </cell>
        </row>
        <row r="255">
          <cell r="B255" t="str">
            <v>СОКОЛОВСЬКИЙ МИКОЛА ВАСИЛЬОВИЧ</v>
          </cell>
          <cell r="C255" t="str">
            <v>1843813915</v>
          </cell>
          <cell r="D255" t="str">
            <v>26257061558001</v>
          </cell>
        </row>
        <row r="256">
          <cell r="B256" t="str">
            <v>СОРОКА ВІРА КОНОНІВНА</v>
          </cell>
          <cell r="C256" t="str">
            <v>1175201322</v>
          </cell>
          <cell r="D256" t="str">
            <v>26257067660001</v>
          </cell>
        </row>
        <row r="257">
          <cell r="B257" t="str">
            <v>СОФРОНОВ АНДРІЙ ІВАНОВИЧ</v>
          </cell>
          <cell r="C257" t="str">
            <v>2386905239</v>
          </cell>
          <cell r="D257" t="str">
            <v>26258063038001</v>
          </cell>
        </row>
        <row r="258">
          <cell r="B258" t="str">
            <v>СОХАНЬ ТАМАРА ПЕТРІВНА</v>
          </cell>
          <cell r="C258" t="str">
            <v>2238219662</v>
          </cell>
          <cell r="D258" t="str">
            <v>26255071272001</v>
          </cell>
        </row>
        <row r="259">
          <cell r="B259" t="str">
            <v>СТАНІСЛАВЧУК ТАМАРА ВАЛЕРІЇВНА</v>
          </cell>
          <cell r="C259" t="str">
            <v>3031715609</v>
          </cell>
          <cell r="D259" t="str">
            <v>26252151009001</v>
          </cell>
        </row>
        <row r="260">
          <cell r="B260" t="str">
            <v>СТАРЧА ТЕТЯНА МИХАЙЛІВНА</v>
          </cell>
          <cell r="C260" t="str">
            <v>2162607927</v>
          </cell>
          <cell r="D260" t="str">
            <v>26256059936001</v>
          </cell>
        </row>
        <row r="261">
          <cell r="B261" t="str">
            <v>СТАХІВСЬКИЙ СЕРГІЙ МИКОЛАЙОВИЧ</v>
          </cell>
          <cell r="C261" t="str">
            <v>2432417456</v>
          </cell>
          <cell r="D261" t="str">
            <v>26257059946001</v>
          </cell>
        </row>
        <row r="262">
          <cell r="B262" t="str">
            <v>СТЕПАНЕЦЬ ІРИНА ІВАНІВНА</v>
          </cell>
          <cell r="C262" t="str">
            <v>2241006942</v>
          </cell>
          <cell r="D262" t="str">
            <v>26259118700001</v>
          </cell>
        </row>
        <row r="263">
          <cell r="B263" t="str">
            <v>СТЕПАНОВА ВІРА ПЕТРІВНА</v>
          </cell>
          <cell r="C263" t="str">
            <v>1872012362</v>
          </cell>
          <cell r="D263" t="str">
            <v>26250059266001</v>
          </cell>
        </row>
        <row r="264">
          <cell r="B264" t="str">
            <v>СТОРОЖЕНКО ЛЮДМИЛА ВІТАЛІЇВНА</v>
          </cell>
          <cell r="C264" t="str">
            <v>2801615123</v>
          </cell>
          <cell r="D264" t="str">
            <v>26250148188001</v>
          </cell>
        </row>
        <row r="265">
          <cell r="B265" t="str">
            <v>СТРЕЛЬНИКОВ МИХАЙЛО ОЛЕКСАНДРОВИЧ</v>
          </cell>
          <cell r="C265" t="str">
            <v>2220501259</v>
          </cell>
          <cell r="D265" t="str">
            <v>26251128969001</v>
          </cell>
        </row>
        <row r="266">
          <cell r="B266" t="str">
            <v>СТРІЖАКОВА АНЖЕЛІКА ВАЛЕРІПВНА</v>
          </cell>
          <cell r="C266" t="str">
            <v>2213724925</v>
          </cell>
          <cell r="D266" t="str">
            <v>26258081913001</v>
          </cell>
        </row>
        <row r="267">
          <cell r="B267" t="str">
            <v>ТАРАСОВСЬКИЙ ВОЛОДИМИР ОЛЕКСІЙОВИЧ</v>
          </cell>
          <cell r="C267" t="str">
            <v>2462905332</v>
          </cell>
          <cell r="D267" t="str">
            <v>26257059935001</v>
          </cell>
        </row>
        <row r="268">
          <cell r="B268" t="str">
            <v>ТЕРЕЩЕНКО АЛЬОНА ВАСИЛІВНА</v>
          </cell>
          <cell r="C268" t="str">
            <v>2684917527</v>
          </cell>
          <cell r="D268" t="str">
            <v>26256189721001</v>
          </cell>
        </row>
        <row r="269">
          <cell r="B269" t="str">
            <v>ТИМОШЕНКО АДАМ ІВАНОВИЧ</v>
          </cell>
          <cell r="C269" t="str">
            <v>1869903435</v>
          </cell>
          <cell r="D269" t="str">
            <v>26251147199001</v>
          </cell>
        </row>
        <row r="270">
          <cell r="B270" t="str">
            <v>ТИМОШЕНКО ЛЮДМИЛА ОЛЕКСІЇВНА</v>
          </cell>
          <cell r="C270" t="str">
            <v>2881301986</v>
          </cell>
          <cell r="D270" t="str">
            <v>26258140166001</v>
          </cell>
        </row>
        <row r="271">
          <cell r="B271" t="str">
            <v>ТИЩЕНКО ОЛЕНА ГРИГОРІВНА</v>
          </cell>
          <cell r="C271" t="str">
            <v>3120315020</v>
          </cell>
          <cell r="D271" t="str">
            <v>26258149026001</v>
          </cell>
        </row>
        <row r="272">
          <cell r="B272" t="str">
            <v>ТОРОВЕЦЬ ЛЕОНІД ЮРІОЙВИЧ</v>
          </cell>
          <cell r="C272" t="str">
            <v>2849010074</v>
          </cell>
          <cell r="D272" t="str">
            <v>26253162558001</v>
          </cell>
        </row>
        <row r="273">
          <cell r="B273" t="str">
            <v>ТРИНЧУК ОЛЕНА ВОЛОДИМИРІВНА</v>
          </cell>
          <cell r="C273" t="str">
            <v>2658017949</v>
          </cell>
          <cell r="D273" t="str">
            <v>26254079093001</v>
          </cell>
        </row>
        <row r="274">
          <cell r="B274" t="str">
            <v>ТУЛУПОВ ОЛЕГ АНДРІЙОВИЧ</v>
          </cell>
          <cell r="C274" t="str">
            <v>1962313798</v>
          </cell>
          <cell r="D274" t="str">
            <v>26256121132001</v>
          </cell>
        </row>
        <row r="275">
          <cell r="B275" t="str">
            <v>ТУРЧИНСЬКА ОЛЬГА ПЕТРІВНА</v>
          </cell>
          <cell r="C275" t="str">
            <v>3041418249</v>
          </cell>
          <cell r="D275" t="str">
            <v>26250147468001</v>
          </cell>
        </row>
        <row r="276">
          <cell r="B276" t="str">
            <v>ФЕДЕНКО ІРИНА БОРИСІВНА</v>
          </cell>
          <cell r="C276" t="str">
            <v>2291417065</v>
          </cell>
          <cell r="D276" t="str">
            <v>26255063042001</v>
          </cell>
        </row>
        <row r="277">
          <cell r="B277" t="str">
            <v>ФЕДЬКО ОЛЕКСАНДР АНАТОЛІЙОВИЧ</v>
          </cell>
          <cell r="C277" t="str">
            <v>2313413790</v>
          </cell>
          <cell r="D277" t="str">
            <v>26254151007001</v>
          </cell>
        </row>
        <row r="278">
          <cell r="B278" t="str">
            <v>ФІЛАТОВА ЛАРИСА АНАТОЛІЇВНА</v>
          </cell>
          <cell r="C278" t="str">
            <v>2436200727</v>
          </cell>
          <cell r="D278" t="str">
            <v>26259067657001</v>
          </cell>
        </row>
        <row r="279">
          <cell r="B279" t="str">
            <v>ФІЛІПОВА КАТЕРИНА АНАТОЛІЇВНА</v>
          </cell>
          <cell r="C279" t="str">
            <v>2951208000</v>
          </cell>
          <cell r="D279" t="str">
            <v>26251130441001</v>
          </cell>
        </row>
        <row r="280">
          <cell r="B280" t="str">
            <v>ФІЦАК ІРИНА ВАСИЛІВНА</v>
          </cell>
          <cell r="C280" t="str">
            <v>2621505480</v>
          </cell>
          <cell r="D280" t="str">
            <v>26257061569001</v>
          </cell>
        </row>
        <row r="281">
          <cell r="B281" t="str">
            <v>ХАБЕНКО ОЛЕГ МИКОЛАЙОВИЧ</v>
          </cell>
          <cell r="C281" t="str">
            <v>1891417151</v>
          </cell>
          <cell r="D281" t="str">
            <v>26253119415001</v>
          </cell>
        </row>
        <row r="282">
          <cell r="B282" t="str">
            <v>ХАДЖИНОВА НАТАЛІЯ АФАНАСІЇВНА</v>
          </cell>
          <cell r="C282" t="str">
            <v>2141200402</v>
          </cell>
          <cell r="D282" t="str">
            <v>26258104436001</v>
          </cell>
        </row>
        <row r="283">
          <cell r="B283" t="str">
            <v>ХАНЕНКО СВЯТОСЛАВ МИХАЙЛОВИЧ</v>
          </cell>
          <cell r="C283" t="str">
            <v>1959305978</v>
          </cell>
          <cell r="D283" t="str">
            <v>26255115592001</v>
          </cell>
        </row>
        <row r="284">
          <cell r="B284" t="str">
            <v>ХАРІНА ТЕТЯНА ВОЛОДИМИРІВНА</v>
          </cell>
          <cell r="C284" t="str">
            <v>2822602588</v>
          </cell>
          <cell r="D284" t="str">
            <v>26256061560001</v>
          </cell>
        </row>
        <row r="285">
          <cell r="B285" t="str">
            <v>ХОМИЧ ОЛЕНА ОЛЕКСІЇВНА</v>
          </cell>
          <cell r="C285" t="str">
            <v>2547412188</v>
          </cell>
          <cell r="D285" t="str">
            <v>26257164596001</v>
          </cell>
        </row>
        <row r="286">
          <cell r="B286" t="str">
            <v>ХРАПАЧЕВСЬКА ЮЛІЯ СТАНІСЛАВІВНА</v>
          </cell>
          <cell r="C286" t="str">
            <v>2628015309</v>
          </cell>
          <cell r="D286" t="str">
            <v>26250059277001</v>
          </cell>
        </row>
        <row r="287">
          <cell r="B287" t="str">
            <v>ЦАРЕНКО ЛІЛІАНА ЮРІЇВНА</v>
          </cell>
          <cell r="C287" t="str">
            <v>2627401981</v>
          </cell>
          <cell r="D287" t="str">
            <v>26259063082001</v>
          </cell>
        </row>
        <row r="288">
          <cell r="B288" t="str">
            <v>ЦЕНІЛОВА ЖАННА ВАЛЕНТИНІВНА</v>
          </cell>
          <cell r="C288" t="str">
            <v>2178810089</v>
          </cell>
          <cell r="D288" t="str">
            <v>26250150552001</v>
          </cell>
        </row>
        <row r="289">
          <cell r="B289" t="str">
            <v>ЧАЛОВА ЮЛІЯ ОЛЕКСАНДРІВНА</v>
          </cell>
          <cell r="C289" t="str">
            <v>2846314083</v>
          </cell>
          <cell r="D289" t="str">
            <v>26259081901001</v>
          </cell>
        </row>
        <row r="290">
          <cell r="B290" t="str">
            <v>ЧЕЛБАЄВА ІРИНА АНАТОЛІЇВНА</v>
          </cell>
          <cell r="C290" t="str">
            <v>2699311306</v>
          </cell>
          <cell r="D290" t="str">
            <v>26252063056001</v>
          </cell>
        </row>
        <row r="291">
          <cell r="B291" t="str">
            <v>ЧЕРЕДНІЧЕНКО ЛІЛІЯ ВІТАЛІЇВНА</v>
          </cell>
          <cell r="C291" t="str">
            <v>2857302307</v>
          </cell>
          <cell r="D291" t="str">
            <v>26253063066001</v>
          </cell>
        </row>
        <row r="292">
          <cell r="B292" t="str">
            <v>ЧЕРКАШИНА ЛЮДМИЛА ВОЛОДИМИРІВНА</v>
          </cell>
          <cell r="C292" t="str">
            <v>2224501421</v>
          </cell>
          <cell r="D292" t="str">
            <v>26257081914001</v>
          </cell>
        </row>
        <row r="293">
          <cell r="B293" t="str">
            <v>ЧЕРНИК ТАМАРА ІВАНІВНА</v>
          </cell>
          <cell r="C293" t="str">
            <v>1871611227</v>
          </cell>
          <cell r="D293" t="str">
            <v>26250061566001</v>
          </cell>
        </row>
        <row r="294">
          <cell r="B294" t="str">
            <v>ЧЕРНИШЕНКО ТЕТЯНА ІВАНІВНА</v>
          </cell>
          <cell r="C294" t="str">
            <v>1945606460</v>
          </cell>
          <cell r="D294" t="str">
            <v>26255076512001</v>
          </cell>
        </row>
        <row r="295">
          <cell r="B295" t="str">
            <v>ЧЕРНЯК СЕРГІЙ ІВАНОВИЧ</v>
          </cell>
          <cell r="C295" t="str">
            <v>1968608717</v>
          </cell>
          <cell r="D295" t="str">
            <v>26253059939001</v>
          </cell>
        </row>
        <row r="296">
          <cell r="B296" t="str">
            <v>ШАРАТОВ ЮРІЙ АНАТОЛІЙОВИЧ</v>
          </cell>
          <cell r="C296" t="str">
            <v>2790812555</v>
          </cell>
          <cell r="D296" t="str">
            <v>26257104437001</v>
          </cell>
        </row>
        <row r="297">
          <cell r="B297" t="str">
            <v>ШВЕЦЬ ОЛЕНА ЮРІЇВНА</v>
          </cell>
          <cell r="C297" t="str">
            <v>2757613448</v>
          </cell>
          <cell r="D297" t="str">
            <v>26253059274001</v>
          </cell>
        </row>
        <row r="298">
          <cell r="B298" t="str">
            <v>ШКОРБОТУН МЕЛАНІЯ КИРИЛІВНА</v>
          </cell>
          <cell r="C298" t="str">
            <v>2082422760</v>
          </cell>
          <cell r="D298" t="str">
            <v>26250063081001</v>
          </cell>
        </row>
        <row r="299">
          <cell r="B299" t="str">
            <v>ШЛОНЧАК НАТАЛІЯ ВАСИЛІВНА</v>
          </cell>
          <cell r="C299" t="str">
            <v>2772708864</v>
          </cell>
          <cell r="D299" t="str">
            <v>26256063063001</v>
          </cell>
        </row>
        <row r="300">
          <cell r="B300" t="str">
            <v>ШПАК ІГОР ВІКТОРОВИЧ</v>
          </cell>
          <cell r="C300" t="str">
            <v>2295715312</v>
          </cell>
          <cell r="D300" t="str">
            <v>26252175739001</v>
          </cell>
        </row>
        <row r="301">
          <cell r="B301" t="str">
            <v>ШУМИЛО ТЕТЯНА МИКИТІВНА</v>
          </cell>
          <cell r="C301" t="str">
            <v>1886506582</v>
          </cell>
          <cell r="D301" t="str">
            <v>26253059962001</v>
          </cell>
        </row>
        <row r="302">
          <cell r="B302" t="str">
            <v>ШУХ ЛЮДМИЛА АНАТОЛІЇВНА</v>
          </cell>
          <cell r="C302" t="str">
            <v>2401608303</v>
          </cell>
          <cell r="D302" t="str">
            <v>26257189720001</v>
          </cell>
        </row>
        <row r="303">
          <cell r="B303" t="str">
            <v>ЩЕРБИНА АНДРIЙ АНАТОЛIЙОВИЧ</v>
          </cell>
          <cell r="C303" t="str">
            <v>2450610890</v>
          </cell>
          <cell r="D303" t="str">
            <v>26259070796001</v>
          </cell>
        </row>
        <row r="304">
          <cell r="B304" t="str">
            <v>ЮХНО ЛЮДМИЛА ОЛЕКСАНДРІВНА</v>
          </cell>
          <cell r="C304" t="str">
            <v>2558317547</v>
          </cell>
          <cell r="D304" t="str">
            <v>26257063039001</v>
          </cell>
        </row>
        <row r="305">
          <cell r="B305" t="str">
            <v>ЯКОВЕНКО ТЕТЯНА МИХАЙЛІВНА</v>
          </cell>
          <cell r="C305" t="str">
            <v>2517802867</v>
          </cell>
          <cell r="D305" t="str">
            <v>26259187258001</v>
          </cell>
        </row>
        <row r="306">
          <cell r="B306" t="str">
            <v>ЯКУБОВСЬКИЙ ВАЛЕРІЙ ПЕТРОВИЧ</v>
          </cell>
          <cell r="C306" t="str">
            <v>2070819238</v>
          </cell>
          <cell r="D306" t="str">
            <v>26251074660001</v>
          </cell>
        </row>
        <row r="307">
          <cell r="B307" t="str">
            <v>ЯКУХНОВА ОЛЬГА СТЕПАНІВНА</v>
          </cell>
          <cell r="C307" t="str">
            <v>2027908261</v>
          </cell>
          <cell r="D307" t="str">
            <v>26256067650001</v>
          </cell>
        </row>
        <row r="308">
          <cell r="B308" t="str">
            <v>ЯРКО ЛЮДМИЛА ВОЛОДИМИРІВНА</v>
          </cell>
          <cell r="C308" t="str">
            <v>2975807043</v>
          </cell>
          <cell r="D308" t="str">
            <v>26251156544001</v>
          </cell>
        </row>
        <row r="309">
          <cell r="B309" t="str">
            <v>ЯРОШЕВСЬКИЙ ВІКТОР СТЕПАНОВИЧ</v>
          </cell>
          <cell r="C309" t="str">
            <v>2065702579</v>
          </cell>
          <cell r="D309" t="str">
            <v>26254076513001</v>
          </cell>
        </row>
        <row r="310">
          <cell r="B310" t="str">
            <v>ЯСІНСЬКА ЛЮДМИЛА ГЕННАДІЇВНА</v>
          </cell>
          <cell r="C310" t="str">
            <v>1964609380</v>
          </cell>
          <cell r="D310" t="str">
            <v>26253181443001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  <sheetName val="додаток до зві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7  інші витрати"/>
      <sheetName val="додаток до звіту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7  інші витрати"/>
      <sheetName val="Лист1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  <sheetName val="додаток до звіт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  <sheetName val="Ener 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  <sheetName val="7  інші витрати"/>
      <sheetName val="ПАРАМЕТР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  <sheetName val="додаток  3"/>
      <sheetName val="т17мб(шаблон)"/>
      <sheetName val="Set"/>
      <sheetName val="учасники"/>
      <sheetName val="объект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ІР"/>
      <sheetName val="Зведена НСЗУ"/>
      <sheetName val="Зведена усі кошти"/>
      <sheetName val="01-09"/>
      <sheetName val="ВИТРАТИ ВСІ"/>
      <sheetName val="ДОХІД-ВИТРАТИ"/>
      <sheetName val="ДОХОДИ"/>
      <sheetName val="ВИТРАТИ"/>
      <sheetName val="ФОП"/>
      <sheetName val="ЄСВ"/>
      <sheetName val="ОЗ"/>
      <sheetName val="2210 "/>
      <sheetName val="ЛЗ"/>
      <sheetName val="МВ "/>
      <sheetName val="ДЗ"/>
      <sheetName val="2230"/>
      <sheetName val="2240"/>
      <sheetName val="2240 ДК"/>
      <sheetName val="2730"/>
      <sheetName val="М-Б"/>
      <sheetName val="БЮД"/>
      <sheetName val="ПЛАН"/>
      <sheetName val="2273"/>
      <sheetName val="2275"/>
      <sheetName val="ТПВ"/>
      <sheetName val="Вода"/>
      <sheetName val="ПОСЛУГИ"/>
      <sheetName val="ПД"/>
      <sheetName val="ПП"/>
      <sheetName val="ПМП"/>
      <sheetName val="ОР"/>
      <sheetName val="ІНШІ"/>
      <sheetName val="Д-МБ"/>
      <sheetName val="Д-НСЗУ"/>
      <sheetName val="Д-ВЛАСНІ"/>
      <sheetName val="ІНМА-власні"/>
    </sheetNames>
    <sheetDataSet>
      <sheetData sheetId="0"/>
      <sheetData sheetId="1"/>
      <sheetData sheetId="2"/>
      <sheetData sheetId="3"/>
      <sheetData sheetId="4">
        <row r="2">
          <cell r="O2">
            <v>50260452.890000001</v>
          </cell>
        </row>
        <row r="4">
          <cell r="O4">
            <v>32651038.690000001</v>
          </cell>
        </row>
        <row r="5">
          <cell r="O5">
            <v>6899969.9600000018</v>
          </cell>
        </row>
        <row r="6">
          <cell r="O6">
            <v>55496.760000000009</v>
          </cell>
        </row>
        <row r="8">
          <cell r="O8">
            <v>2031941.86</v>
          </cell>
        </row>
        <row r="16">
          <cell r="O16">
            <v>193823.6</v>
          </cell>
        </row>
        <row r="17">
          <cell r="O17">
            <v>453340.32999999996</v>
          </cell>
        </row>
        <row r="18">
          <cell r="O18">
            <v>538015.89</v>
          </cell>
        </row>
        <row r="19">
          <cell r="O19">
            <v>15071</v>
          </cell>
        </row>
        <row r="20">
          <cell r="O20">
            <v>244954</v>
          </cell>
        </row>
        <row r="21">
          <cell r="O21">
            <v>4101964.3699999992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804745.31</v>
          </cell>
        </row>
        <row r="32">
          <cell r="O32">
            <v>995589.78</v>
          </cell>
        </row>
        <row r="33">
          <cell r="O33">
            <v>2373.04</v>
          </cell>
        </row>
        <row r="54">
          <cell r="O54">
            <v>882184.14</v>
          </cell>
        </row>
        <row r="59">
          <cell r="O59">
            <v>392317.2</v>
          </cell>
        </row>
      </sheetData>
      <sheetData sheetId="5">
        <row r="11">
          <cell r="P11">
            <v>41110190.379999995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H5">
            <v>3785526.3200000003</v>
          </cell>
        </row>
      </sheetData>
      <sheetData sheetId="20"/>
      <sheetData sheetId="21"/>
      <sheetData sheetId="22"/>
      <sheetData sheetId="23"/>
      <sheetData sheetId="24"/>
      <sheetData sheetId="25"/>
      <sheetData sheetId="26">
        <row r="33">
          <cell r="F33">
            <v>1035598.9299999999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Фонд"/>
      <sheetName val="ШР"/>
      <sheetName val="ЗВЕДЕНИЙ ШР"/>
      <sheetName val="ТАРИФІКАЦІЯ"/>
    </sheetNames>
    <sheetDataSet>
      <sheetData sheetId="0"/>
      <sheetData sheetId="1">
        <row r="211">
          <cell r="J211" t="str">
            <v>Тетяна ВЕЛИЧКО</v>
          </cell>
        </row>
        <row r="213">
          <cell r="J213" t="str">
            <v>Людмила ШКРОБОТ</v>
          </cell>
        </row>
        <row r="215">
          <cell r="J215" t="str">
            <v>Наталія РОСОЛОВСЬКА</v>
          </cell>
        </row>
      </sheetData>
      <sheetData sheetId="2" refreshError="1"/>
      <sheetData sheetId="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ІР"/>
      <sheetName val="Зведена НСЗУ"/>
      <sheetName val="Зведена усі кошти"/>
      <sheetName val="01-09"/>
      <sheetName val="ВИТРАТИ ВСІ"/>
      <sheetName val="ДОХІД-ВИТРАТИ"/>
      <sheetName val="ДОХОДИ"/>
      <sheetName val="ВИТРАТИ"/>
      <sheetName val="ФОП"/>
      <sheetName val="ЄСВ"/>
      <sheetName val="ОЗ"/>
      <sheetName val="2210 "/>
      <sheetName val="ЛЗ"/>
      <sheetName val="МВ "/>
      <sheetName val="ДЗ"/>
      <sheetName val="2230"/>
      <sheetName val="2240"/>
      <sheetName val="2240 ДК"/>
      <sheetName val="2730"/>
      <sheetName val="М-Б"/>
      <sheetName val="БЮД"/>
      <sheetName val="ПЛАН"/>
      <sheetName val="2273"/>
      <sheetName val="2275"/>
      <sheetName val="ТПВ"/>
      <sheetName val="Вода"/>
      <sheetName val="ПОСЛУГИ"/>
      <sheetName val="ПД"/>
      <sheetName val="ПП"/>
      <sheetName val="ПМП"/>
      <sheetName val="ОР"/>
      <sheetName val="ІНШІ"/>
      <sheetName val="Д-МБ"/>
      <sheetName val="Д-НСЗУ"/>
      <sheetName val="Д-ВЛАСНІ"/>
      <sheetName val="ІНМА-власн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AB10">
            <v>298094.13999999996</v>
          </cell>
        </row>
        <row r="11">
          <cell r="AB11">
            <v>411102.30000000005</v>
          </cell>
        </row>
        <row r="12">
          <cell r="AB12">
            <v>328.84000000000003</v>
          </cell>
        </row>
        <row r="13">
          <cell r="AB13">
            <v>2318.64</v>
          </cell>
        </row>
        <row r="14">
          <cell r="AB14">
            <v>54549.279999999999</v>
          </cell>
        </row>
        <row r="15">
          <cell r="AB15">
            <v>1016.91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додаток до звіту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gdp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gdp"/>
      <sheetName val="1993"/>
      <sheetName val="1_Структура по елемент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://vobu.ua/images/kp/index.html" TargetMode="External"/><Relationship Id="rId117" Type="http://schemas.openxmlformats.org/officeDocument/2006/relationships/hyperlink" Target="http://vobu.ua/images/kp/index.html" TargetMode="External"/><Relationship Id="rId21" Type="http://schemas.openxmlformats.org/officeDocument/2006/relationships/hyperlink" Target="http://vobu.ua/images/kp/index.html" TargetMode="External"/><Relationship Id="rId42" Type="http://schemas.openxmlformats.org/officeDocument/2006/relationships/hyperlink" Target="http://vobu.ua/images/kp/index.html" TargetMode="External"/><Relationship Id="rId47" Type="http://schemas.openxmlformats.org/officeDocument/2006/relationships/hyperlink" Target="http://vobu.ua/images/kp/index.html" TargetMode="External"/><Relationship Id="rId63" Type="http://schemas.openxmlformats.org/officeDocument/2006/relationships/hyperlink" Target="http://vobu.ua/images/kp/index.html" TargetMode="External"/><Relationship Id="rId68" Type="http://schemas.openxmlformats.org/officeDocument/2006/relationships/hyperlink" Target="http://vobu.ua/images/kp/index.html" TargetMode="External"/><Relationship Id="rId84" Type="http://schemas.openxmlformats.org/officeDocument/2006/relationships/hyperlink" Target="http://vobu.ua/images/kp/index.html" TargetMode="External"/><Relationship Id="rId89" Type="http://schemas.openxmlformats.org/officeDocument/2006/relationships/hyperlink" Target="http://vobu.ua/images/kp/index.html" TargetMode="External"/><Relationship Id="rId112" Type="http://schemas.openxmlformats.org/officeDocument/2006/relationships/hyperlink" Target="http://vobu.ua/images/kp/index.html" TargetMode="External"/><Relationship Id="rId16" Type="http://schemas.openxmlformats.org/officeDocument/2006/relationships/hyperlink" Target="http://vobu.ua/images/kp/index.html" TargetMode="External"/><Relationship Id="rId107" Type="http://schemas.openxmlformats.org/officeDocument/2006/relationships/hyperlink" Target="http://vobu.ua/images/kp/index.html" TargetMode="External"/><Relationship Id="rId11" Type="http://schemas.openxmlformats.org/officeDocument/2006/relationships/hyperlink" Target="http://vobu.ua/images/kp/index.html" TargetMode="External"/><Relationship Id="rId32" Type="http://schemas.openxmlformats.org/officeDocument/2006/relationships/hyperlink" Target="http://vobu.ua/images/kp/index.html" TargetMode="External"/><Relationship Id="rId37" Type="http://schemas.openxmlformats.org/officeDocument/2006/relationships/hyperlink" Target="http://vobu.ua/images/kp/index.html" TargetMode="External"/><Relationship Id="rId53" Type="http://schemas.openxmlformats.org/officeDocument/2006/relationships/hyperlink" Target="http://vobu.ua/images/kp/index.html" TargetMode="External"/><Relationship Id="rId58" Type="http://schemas.openxmlformats.org/officeDocument/2006/relationships/hyperlink" Target="http://vobu.ua/images/kp/index.html" TargetMode="External"/><Relationship Id="rId74" Type="http://schemas.openxmlformats.org/officeDocument/2006/relationships/hyperlink" Target="http://vobu.ua/images/kp/index.html" TargetMode="External"/><Relationship Id="rId79" Type="http://schemas.openxmlformats.org/officeDocument/2006/relationships/hyperlink" Target="http://vobu.ua/images/kp/index.html" TargetMode="External"/><Relationship Id="rId102" Type="http://schemas.openxmlformats.org/officeDocument/2006/relationships/hyperlink" Target="http://vobu.ua/images/kp/index.html" TargetMode="External"/><Relationship Id="rId123" Type="http://schemas.openxmlformats.org/officeDocument/2006/relationships/hyperlink" Target="http://vobu.ua/images/kp/index.html" TargetMode="External"/><Relationship Id="rId5" Type="http://schemas.openxmlformats.org/officeDocument/2006/relationships/hyperlink" Target="http://vobu.ua/images/kp/index.html" TargetMode="External"/><Relationship Id="rId90" Type="http://schemas.openxmlformats.org/officeDocument/2006/relationships/hyperlink" Target="http://vobu.ua/images/kp/index.html" TargetMode="External"/><Relationship Id="rId95" Type="http://schemas.openxmlformats.org/officeDocument/2006/relationships/hyperlink" Target="http://vobu.ua/images/kp/index.html" TargetMode="External"/><Relationship Id="rId19" Type="http://schemas.openxmlformats.org/officeDocument/2006/relationships/hyperlink" Target="http://vobu.ua/images/kp/index.html" TargetMode="External"/><Relationship Id="rId14" Type="http://schemas.openxmlformats.org/officeDocument/2006/relationships/hyperlink" Target="http://vobu.ua/images/kp/index.html" TargetMode="External"/><Relationship Id="rId22" Type="http://schemas.openxmlformats.org/officeDocument/2006/relationships/hyperlink" Target="http://vobu.ua/images/kp/index.html" TargetMode="External"/><Relationship Id="rId27" Type="http://schemas.openxmlformats.org/officeDocument/2006/relationships/hyperlink" Target="http://vobu.ua/images/kp/index.html" TargetMode="External"/><Relationship Id="rId30" Type="http://schemas.openxmlformats.org/officeDocument/2006/relationships/hyperlink" Target="http://vobu.ua/images/kp/index.html" TargetMode="External"/><Relationship Id="rId35" Type="http://schemas.openxmlformats.org/officeDocument/2006/relationships/hyperlink" Target="http://vobu.ua/images/kp/index.html" TargetMode="External"/><Relationship Id="rId43" Type="http://schemas.openxmlformats.org/officeDocument/2006/relationships/hyperlink" Target="http://vobu.ua/images/kp/index.html" TargetMode="External"/><Relationship Id="rId48" Type="http://schemas.openxmlformats.org/officeDocument/2006/relationships/hyperlink" Target="http://vobu.ua/images/kp/index.html" TargetMode="External"/><Relationship Id="rId56" Type="http://schemas.openxmlformats.org/officeDocument/2006/relationships/hyperlink" Target="http://vobu.ua/images/kp/index.html" TargetMode="External"/><Relationship Id="rId64" Type="http://schemas.openxmlformats.org/officeDocument/2006/relationships/hyperlink" Target="http://vobu.ua/images/kp/index.html" TargetMode="External"/><Relationship Id="rId69" Type="http://schemas.openxmlformats.org/officeDocument/2006/relationships/hyperlink" Target="http://vobu.ua/images/kp/index.html" TargetMode="External"/><Relationship Id="rId77" Type="http://schemas.openxmlformats.org/officeDocument/2006/relationships/hyperlink" Target="http://vobu.ua/images/kp/index.html" TargetMode="External"/><Relationship Id="rId100" Type="http://schemas.openxmlformats.org/officeDocument/2006/relationships/hyperlink" Target="http://vobu.ua/images/kp/index.html" TargetMode="External"/><Relationship Id="rId105" Type="http://schemas.openxmlformats.org/officeDocument/2006/relationships/hyperlink" Target="http://vobu.ua/images/kp/index.html" TargetMode="External"/><Relationship Id="rId113" Type="http://schemas.openxmlformats.org/officeDocument/2006/relationships/hyperlink" Target="http://vobu.ua/images/kp/index.html" TargetMode="External"/><Relationship Id="rId118" Type="http://schemas.openxmlformats.org/officeDocument/2006/relationships/hyperlink" Target="http://vobu.ua/images/kp/index.html" TargetMode="External"/><Relationship Id="rId126" Type="http://schemas.openxmlformats.org/officeDocument/2006/relationships/hyperlink" Target="http://vobu.ua/images/kp/index.html" TargetMode="External"/><Relationship Id="rId8" Type="http://schemas.openxmlformats.org/officeDocument/2006/relationships/hyperlink" Target="http://vobu.ua/images/kp/index.html" TargetMode="External"/><Relationship Id="rId51" Type="http://schemas.openxmlformats.org/officeDocument/2006/relationships/hyperlink" Target="http://vobu.ua/images/kp/index.html" TargetMode="External"/><Relationship Id="rId72" Type="http://schemas.openxmlformats.org/officeDocument/2006/relationships/hyperlink" Target="http://vobu.ua/images/kp/index.html" TargetMode="External"/><Relationship Id="rId80" Type="http://schemas.openxmlformats.org/officeDocument/2006/relationships/hyperlink" Target="http://vobu.ua/images/kp/index.html" TargetMode="External"/><Relationship Id="rId85" Type="http://schemas.openxmlformats.org/officeDocument/2006/relationships/hyperlink" Target="http://vobu.ua/images/kp/index.html" TargetMode="External"/><Relationship Id="rId93" Type="http://schemas.openxmlformats.org/officeDocument/2006/relationships/hyperlink" Target="http://vobu.ua/images/kp/index.html" TargetMode="External"/><Relationship Id="rId98" Type="http://schemas.openxmlformats.org/officeDocument/2006/relationships/hyperlink" Target="http://vobu.ua/images/kp/index.html" TargetMode="External"/><Relationship Id="rId121" Type="http://schemas.openxmlformats.org/officeDocument/2006/relationships/hyperlink" Target="http://vobu.ua/images/kp/index.html" TargetMode="External"/><Relationship Id="rId3" Type="http://schemas.openxmlformats.org/officeDocument/2006/relationships/hyperlink" Target="http://vobu.ua/images/kp/index.html" TargetMode="External"/><Relationship Id="rId12" Type="http://schemas.openxmlformats.org/officeDocument/2006/relationships/hyperlink" Target="http://vobu.ua/images/kp/index.html" TargetMode="External"/><Relationship Id="rId17" Type="http://schemas.openxmlformats.org/officeDocument/2006/relationships/hyperlink" Target="http://vobu.ua/images/kp/index.html" TargetMode="External"/><Relationship Id="rId25" Type="http://schemas.openxmlformats.org/officeDocument/2006/relationships/hyperlink" Target="http://vobu.ua/images/kp/index.html" TargetMode="External"/><Relationship Id="rId33" Type="http://schemas.openxmlformats.org/officeDocument/2006/relationships/hyperlink" Target="http://vobu.ua/images/kp/index.html" TargetMode="External"/><Relationship Id="rId38" Type="http://schemas.openxmlformats.org/officeDocument/2006/relationships/hyperlink" Target="http://vobu.ua/images/kp/index.html" TargetMode="External"/><Relationship Id="rId46" Type="http://schemas.openxmlformats.org/officeDocument/2006/relationships/hyperlink" Target="http://vobu.ua/images/kp/index.html" TargetMode="External"/><Relationship Id="rId59" Type="http://schemas.openxmlformats.org/officeDocument/2006/relationships/hyperlink" Target="http://vobu.ua/images/kp/index.html" TargetMode="External"/><Relationship Id="rId67" Type="http://schemas.openxmlformats.org/officeDocument/2006/relationships/hyperlink" Target="http://vobu.ua/images/kp/index.html" TargetMode="External"/><Relationship Id="rId103" Type="http://schemas.openxmlformats.org/officeDocument/2006/relationships/hyperlink" Target="http://vobu.ua/images/kp/index.html" TargetMode="External"/><Relationship Id="rId108" Type="http://schemas.openxmlformats.org/officeDocument/2006/relationships/hyperlink" Target="http://vobu.ua/images/kp/index.html" TargetMode="External"/><Relationship Id="rId116" Type="http://schemas.openxmlformats.org/officeDocument/2006/relationships/hyperlink" Target="http://vobu.ua/images/kp/index.html" TargetMode="External"/><Relationship Id="rId124" Type="http://schemas.openxmlformats.org/officeDocument/2006/relationships/hyperlink" Target="http://vobu.ua/images/kp/index.html" TargetMode="External"/><Relationship Id="rId20" Type="http://schemas.openxmlformats.org/officeDocument/2006/relationships/hyperlink" Target="http://vobu.ua/images/kp/index.html" TargetMode="External"/><Relationship Id="rId41" Type="http://schemas.openxmlformats.org/officeDocument/2006/relationships/hyperlink" Target="http://vobu.ua/images/kp/index.html" TargetMode="External"/><Relationship Id="rId54" Type="http://schemas.openxmlformats.org/officeDocument/2006/relationships/hyperlink" Target="http://vobu.ua/images/kp/index.html" TargetMode="External"/><Relationship Id="rId62" Type="http://schemas.openxmlformats.org/officeDocument/2006/relationships/hyperlink" Target="http://vobu.ua/images/kp/index.html" TargetMode="External"/><Relationship Id="rId70" Type="http://schemas.openxmlformats.org/officeDocument/2006/relationships/hyperlink" Target="http://vobu.ua/images/kp/index.html" TargetMode="External"/><Relationship Id="rId75" Type="http://schemas.openxmlformats.org/officeDocument/2006/relationships/hyperlink" Target="http://vobu.ua/images/kp/index.html" TargetMode="External"/><Relationship Id="rId83" Type="http://schemas.openxmlformats.org/officeDocument/2006/relationships/hyperlink" Target="http://vobu.ua/images/kp/index.html" TargetMode="External"/><Relationship Id="rId88" Type="http://schemas.openxmlformats.org/officeDocument/2006/relationships/hyperlink" Target="http://vobu.ua/images/kp/index.html" TargetMode="External"/><Relationship Id="rId91" Type="http://schemas.openxmlformats.org/officeDocument/2006/relationships/hyperlink" Target="http://vobu.ua/images/kp/index.html" TargetMode="External"/><Relationship Id="rId96" Type="http://schemas.openxmlformats.org/officeDocument/2006/relationships/hyperlink" Target="http://vobu.ua/images/kp/index.html" TargetMode="External"/><Relationship Id="rId111" Type="http://schemas.openxmlformats.org/officeDocument/2006/relationships/hyperlink" Target="http://vobu.ua/images/kp/index.html" TargetMode="External"/><Relationship Id="rId1" Type="http://schemas.openxmlformats.org/officeDocument/2006/relationships/hyperlink" Target="http://vobu.ua/images/kp/index.html" TargetMode="External"/><Relationship Id="rId6" Type="http://schemas.openxmlformats.org/officeDocument/2006/relationships/hyperlink" Target="http://vobu.ua/images/kp/index.html" TargetMode="External"/><Relationship Id="rId15" Type="http://schemas.openxmlformats.org/officeDocument/2006/relationships/hyperlink" Target="http://vobu.ua/images/kp/index.html" TargetMode="External"/><Relationship Id="rId23" Type="http://schemas.openxmlformats.org/officeDocument/2006/relationships/hyperlink" Target="http://vobu.ua/images/kp/index.html" TargetMode="External"/><Relationship Id="rId28" Type="http://schemas.openxmlformats.org/officeDocument/2006/relationships/hyperlink" Target="http://vobu.ua/images/kp/index.html" TargetMode="External"/><Relationship Id="rId36" Type="http://schemas.openxmlformats.org/officeDocument/2006/relationships/hyperlink" Target="http://vobu.ua/images/kp/index.html" TargetMode="External"/><Relationship Id="rId49" Type="http://schemas.openxmlformats.org/officeDocument/2006/relationships/hyperlink" Target="http://vobu.ua/images/kp/index.html" TargetMode="External"/><Relationship Id="rId57" Type="http://schemas.openxmlformats.org/officeDocument/2006/relationships/hyperlink" Target="http://vobu.ua/images/kp/index.html" TargetMode="External"/><Relationship Id="rId106" Type="http://schemas.openxmlformats.org/officeDocument/2006/relationships/hyperlink" Target="http://vobu.ua/images/kp/index.html" TargetMode="External"/><Relationship Id="rId114" Type="http://schemas.openxmlformats.org/officeDocument/2006/relationships/hyperlink" Target="http://vobu.ua/images/kp/index.html" TargetMode="External"/><Relationship Id="rId119" Type="http://schemas.openxmlformats.org/officeDocument/2006/relationships/hyperlink" Target="http://vobu.ua/images/kp/index.html" TargetMode="External"/><Relationship Id="rId127" Type="http://schemas.openxmlformats.org/officeDocument/2006/relationships/printerSettings" Target="../printerSettings/printerSettings13.bin"/><Relationship Id="rId10" Type="http://schemas.openxmlformats.org/officeDocument/2006/relationships/hyperlink" Target="http://vobu.ua/images/kp/index.html" TargetMode="External"/><Relationship Id="rId31" Type="http://schemas.openxmlformats.org/officeDocument/2006/relationships/hyperlink" Target="http://vobu.ua/images/kp/index.html" TargetMode="External"/><Relationship Id="rId44" Type="http://schemas.openxmlformats.org/officeDocument/2006/relationships/hyperlink" Target="http://vobu.ua/images/kp/index.html" TargetMode="External"/><Relationship Id="rId52" Type="http://schemas.openxmlformats.org/officeDocument/2006/relationships/hyperlink" Target="http://vobu.ua/images/kp/index.html" TargetMode="External"/><Relationship Id="rId60" Type="http://schemas.openxmlformats.org/officeDocument/2006/relationships/hyperlink" Target="http://vobu.ua/images/kp/index.html" TargetMode="External"/><Relationship Id="rId65" Type="http://schemas.openxmlformats.org/officeDocument/2006/relationships/hyperlink" Target="http://vobu.ua/images/kp/index.html" TargetMode="External"/><Relationship Id="rId73" Type="http://schemas.openxmlformats.org/officeDocument/2006/relationships/hyperlink" Target="http://vobu.ua/images/kp/index.html" TargetMode="External"/><Relationship Id="rId78" Type="http://schemas.openxmlformats.org/officeDocument/2006/relationships/hyperlink" Target="http://vobu.ua/images/kp/index.html" TargetMode="External"/><Relationship Id="rId81" Type="http://schemas.openxmlformats.org/officeDocument/2006/relationships/hyperlink" Target="http://vobu.ua/images/kp/index.html" TargetMode="External"/><Relationship Id="rId86" Type="http://schemas.openxmlformats.org/officeDocument/2006/relationships/hyperlink" Target="http://vobu.ua/images/kp/index.html" TargetMode="External"/><Relationship Id="rId94" Type="http://schemas.openxmlformats.org/officeDocument/2006/relationships/hyperlink" Target="http://vobu.ua/images/kp/index.html" TargetMode="External"/><Relationship Id="rId99" Type="http://schemas.openxmlformats.org/officeDocument/2006/relationships/hyperlink" Target="http://vobu.ua/images/kp/index.html" TargetMode="External"/><Relationship Id="rId101" Type="http://schemas.openxmlformats.org/officeDocument/2006/relationships/hyperlink" Target="http://vobu.ua/images/kp/index.html" TargetMode="External"/><Relationship Id="rId122" Type="http://schemas.openxmlformats.org/officeDocument/2006/relationships/hyperlink" Target="http://vobu.ua/images/kp/index.html" TargetMode="External"/><Relationship Id="rId4" Type="http://schemas.openxmlformats.org/officeDocument/2006/relationships/hyperlink" Target="http://vobu.ua/images/kp/index.html" TargetMode="External"/><Relationship Id="rId9" Type="http://schemas.openxmlformats.org/officeDocument/2006/relationships/hyperlink" Target="http://vobu.ua/images/kp/index.html" TargetMode="External"/><Relationship Id="rId13" Type="http://schemas.openxmlformats.org/officeDocument/2006/relationships/hyperlink" Target="http://vobu.ua/images/kp/index.html" TargetMode="External"/><Relationship Id="rId18" Type="http://schemas.openxmlformats.org/officeDocument/2006/relationships/hyperlink" Target="http://vobu.ua/images/kp/index.html" TargetMode="External"/><Relationship Id="rId39" Type="http://schemas.openxmlformats.org/officeDocument/2006/relationships/hyperlink" Target="http://vobu.ua/images/kp/index.html" TargetMode="External"/><Relationship Id="rId109" Type="http://schemas.openxmlformats.org/officeDocument/2006/relationships/hyperlink" Target="http://vobu.ua/images/kp/index.html" TargetMode="External"/><Relationship Id="rId34" Type="http://schemas.openxmlformats.org/officeDocument/2006/relationships/hyperlink" Target="http://vobu.ua/images/kp/index.html" TargetMode="External"/><Relationship Id="rId50" Type="http://schemas.openxmlformats.org/officeDocument/2006/relationships/hyperlink" Target="http://vobu.ua/images/kp/index.html" TargetMode="External"/><Relationship Id="rId55" Type="http://schemas.openxmlformats.org/officeDocument/2006/relationships/hyperlink" Target="http://vobu.ua/images/kp/index.html" TargetMode="External"/><Relationship Id="rId76" Type="http://schemas.openxmlformats.org/officeDocument/2006/relationships/hyperlink" Target="http://vobu.ua/images/kp/index.html" TargetMode="External"/><Relationship Id="rId97" Type="http://schemas.openxmlformats.org/officeDocument/2006/relationships/hyperlink" Target="http://vobu.ua/images/kp/index.html" TargetMode="External"/><Relationship Id="rId104" Type="http://schemas.openxmlformats.org/officeDocument/2006/relationships/hyperlink" Target="http://vobu.ua/images/kp/index.html" TargetMode="External"/><Relationship Id="rId120" Type="http://schemas.openxmlformats.org/officeDocument/2006/relationships/hyperlink" Target="http://vobu.ua/images/kp/index.html" TargetMode="External"/><Relationship Id="rId125" Type="http://schemas.openxmlformats.org/officeDocument/2006/relationships/hyperlink" Target="http://vobu.ua/images/kp/index.html" TargetMode="External"/><Relationship Id="rId7" Type="http://schemas.openxmlformats.org/officeDocument/2006/relationships/hyperlink" Target="http://vobu.ua/images/kp/index.html" TargetMode="External"/><Relationship Id="rId71" Type="http://schemas.openxmlformats.org/officeDocument/2006/relationships/hyperlink" Target="http://vobu.ua/images/kp/index.html" TargetMode="External"/><Relationship Id="rId92" Type="http://schemas.openxmlformats.org/officeDocument/2006/relationships/hyperlink" Target="http://vobu.ua/images/kp/index.html" TargetMode="External"/><Relationship Id="rId2" Type="http://schemas.openxmlformats.org/officeDocument/2006/relationships/hyperlink" Target="http://vobu.ua/images/kp/index.html" TargetMode="External"/><Relationship Id="rId29" Type="http://schemas.openxmlformats.org/officeDocument/2006/relationships/hyperlink" Target="http://vobu.ua/images/kp/index.html" TargetMode="External"/><Relationship Id="rId24" Type="http://schemas.openxmlformats.org/officeDocument/2006/relationships/hyperlink" Target="http://vobu.ua/images/kp/index.html" TargetMode="External"/><Relationship Id="rId40" Type="http://schemas.openxmlformats.org/officeDocument/2006/relationships/hyperlink" Target="http://vobu.ua/images/kp/index.html" TargetMode="External"/><Relationship Id="rId45" Type="http://schemas.openxmlformats.org/officeDocument/2006/relationships/hyperlink" Target="http://vobu.ua/images/kp/index.html" TargetMode="External"/><Relationship Id="rId66" Type="http://schemas.openxmlformats.org/officeDocument/2006/relationships/hyperlink" Target="http://vobu.ua/images/kp/index.html" TargetMode="External"/><Relationship Id="rId87" Type="http://schemas.openxmlformats.org/officeDocument/2006/relationships/hyperlink" Target="http://vobu.ua/images/kp/index.html" TargetMode="External"/><Relationship Id="rId110" Type="http://schemas.openxmlformats.org/officeDocument/2006/relationships/hyperlink" Target="http://vobu.ua/images/kp/index.html" TargetMode="External"/><Relationship Id="rId115" Type="http://schemas.openxmlformats.org/officeDocument/2006/relationships/hyperlink" Target="http://vobu.ua/images/kp/index.html" TargetMode="External"/><Relationship Id="rId61" Type="http://schemas.openxmlformats.org/officeDocument/2006/relationships/hyperlink" Target="http://vobu.ua/images/kp/index.html" TargetMode="External"/><Relationship Id="rId82" Type="http://schemas.openxmlformats.org/officeDocument/2006/relationships/hyperlink" Target="http://vobu.ua/images/kp/index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prozorro.gov.ua/tender/UA-2022-11-15-000178-a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2-01-24-008182-b" TargetMode="External"/><Relationship Id="rId13" Type="http://schemas.openxmlformats.org/officeDocument/2006/relationships/hyperlink" Target="https://prozorro.gov.ua/tender/UA-2022-06-16-005707-a" TargetMode="External"/><Relationship Id="rId3" Type="http://schemas.openxmlformats.org/officeDocument/2006/relationships/hyperlink" Target="https://prozorro.gov.ua/tender/UA-2022-01-26-008402-b" TargetMode="External"/><Relationship Id="rId7" Type="http://schemas.openxmlformats.org/officeDocument/2006/relationships/hyperlink" Target="https://prozorro.gov.ua/tender/UA-2022-03-24-003253-b" TargetMode="External"/><Relationship Id="rId12" Type="http://schemas.openxmlformats.org/officeDocument/2006/relationships/hyperlink" Target="https://prozorro.gov.ua/tender/UA-2022-06-23-002141-a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s://prozorro.gov.ua/tender/UA-2022-02-15-004370-b" TargetMode="External"/><Relationship Id="rId16" Type="http://schemas.openxmlformats.org/officeDocument/2006/relationships/hyperlink" Target="https://prozorro.gov.ua/tender/UA-2022-09-14-006362-a" TargetMode="External"/><Relationship Id="rId1" Type="http://schemas.openxmlformats.org/officeDocument/2006/relationships/hyperlink" Target="https://prozorro.gov.ua/tender/UA-2022-05-27-002362-a" TargetMode="External"/><Relationship Id="rId6" Type="http://schemas.openxmlformats.org/officeDocument/2006/relationships/hyperlink" Target="https://prozorro.gov.ua/tender/UA-2022-06-14-003890-a" TargetMode="External"/><Relationship Id="rId11" Type="http://schemas.openxmlformats.org/officeDocument/2006/relationships/hyperlink" Target="https://prozorro.gov.ua/tender/UA-2022-06-09-002320-a" TargetMode="External"/><Relationship Id="rId5" Type="http://schemas.openxmlformats.org/officeDocument/2006/relationships/hyperlink" Target="https://prozorro.gov.ua/tender/UA-2022-06-15-004172-a" TargetMode="External"/><Relationship Id="rId15" Type="http://schemas.openxmlformats.org/officeDocument/2006/relationships/hyperlink" Target="https://prozorro.gov.ua/tender/UA-2022-09-06-009534-a" TargetMode="External"/><Relationship Id="rId10" Type="http://schemas.openxmlformats.org/officeDocument/2006/relationships/hyperlink" Target="https://prozorro.gov.ua/tender/UA-2022-06-07-006394-a" TargetMode="External"/><Relationship Id="rId4" Type="http://schemas.openxmlformats.org/officeDocument/2006/relationships/hyperlink" Target="https://prozorro.gov.ua/tender/UA-2022-04-20-000925-a" TargetMode="External"/><Relationship Id="rId9" Type="http://schemas.openxmlformats.org/officeDocument/2006/relationships/hyperlink" Target="https://prozorro.gov.ua/tender/UA-2022-05-20-003869-a" TargetMode="External"/><Relationship Id="rId14" Type="http://schemas.openxmlformats.org/officeDocument/2006/relationships/hyperlink" Target="https://prozorro.gov.ua/tender/UA-2022-06-15-003675-a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zorro.gov.ua/tender/UA-2022-02-28-000885-a" TargetMode="External"/><Relationship Id="rId18" Type="http://schemas.openxmlformats.org/officeDocument/2006/relationships/hyperlink" Target="https://prozorro.gov.ua/tender/UA-2022-03-23-003545-b" TargetMode="External"/><Relationship Id="rId26" Type="http://schemas.openxmlformats.org/officeDocument/2006/relationships/hyperlink" Target="https://prozorro.gov.ua/tender/UA-2022-04-20-000925-a" TargetMode="External"/><Relationship Id="rId39" Type="http://schemas.openxmlformats.org/officeDocument/2006/relationships/hyperlink" Target="https://prozorro.gov.ua/tender/UA-2022-06-23-000751-a" TargetMode="External"/><Relationship Id="rId21" Type="http://schemas.openxmlformats.org/officeDocument/2006/relationships/hyperlink" Target="https://prozorro.gov.ua/tender/UA-2022-03-21-001032-a" TargetMode="External"/><Relationship Id="rId34" Type="http://schemas.openxmlformats.org/officeDocument/2006/relationships/hyperlink" Target="https://prozorro.gov.ua/tender/UA-2022-06-15-006450-a" TargetMode="External"/><Relationship Id="rId42" Type="http://schemas.openxmlformats.org/officeDocument/2006/relationships/hyperlink" Target="https://prozorro.gov.ua/tender/UA-2022-07-06-000137-a" TargetMode="External"/><Relationship Id="rId47" Type="http://schemas.openxmlformats.org/officeDocument/2006/relationships/hyperlink" Target="https://prozorro.gov.ua/tender/UA-2022-07-11-001697-a" TargetMode="External"/><Relationship Id="rId50" Type="http://schemas.openxmlformats.org/officeDocument/2006/relationships/hyperlink" Target="https://prozorro.gov.ua/tender/UA-2022-07-25-002801-a" TargetMode="External"/><Relationship Id="rId55" Type="http://schemas.openxmlformats.org/officeDocument/2006/relationships/hyperlink" Target="https://prozorro.gov.ua/tender/UA-2022-04-20-000925-a" TargetMode="External"/><Relationship Id="rId63" Type="http://schemas.openxmlformats.org/officeDocument/2006/relationships/hyperlink" Target="https://prozorro.gov.ua/tender/UA-2022-10-04-008957-a" TargetMode="External"/><Relationship Id="rId68" Type="http://schemas.openxmlformats.org/officeDocument/2006/relationships/printerSettings" Target="../printerSettings/printerSettings6.bin"/><Relationship Id="rId7" Type="http://schemas.openxmlformats.org/officeDocument/2006/relationships/hyperlink" Target="https://prozorro.gov.ua/tender/UA-2021-12-28-012359-c" TargetMode="External"/><Relationship Id="rId2" Type="http://schemas.openxmlformats.org/officeDocument/2006/relationships/hyperlink" Target="https://prozorro.gov.ua/tender/UA-2021-12-23-004838-c" TargetMode="External"/><Relationship Id="rId16" Type="http://schemas.openxmlformats.org/officeDocument/2006/relationships/hyperlink" Target="https://prozorro.gov.ua/tender/UA-2022-03-01-002063-a" TargetMode="External"/><Relationship Id="rId29" Type="http://schemas.openxmlformats.org/officeDocument/2006/relationships/hyperlink" Target="https://prozorro.gov.ua/tender/UA-2022-05-25-002037-a" TargetMode="External"/><Relationship Id="rId1" Type="http://schemas.openxmlformats.org/officeDocument/2006/relationships/hyperlink" Target="https://prozorro.gov.ua/tender/UA-2021-12-23-004838-c" TargetMode="External"/><Relationship Id="rId6" Type="http://schemas.openxmlformats.org/officeDocument/2006/relationships/hyperlink" Target="https://prozorro.gov.ua/tender/UA-2021-12-27-000964-c" TargetMode="External"/><Relationship Id="rId11" Type="http://schemas.openxmlformats.org/officeDocument/2006/relationships/hyperlink" Target="https://prozorro.gov.ua/tender/UA-2022-02-09-006512-b" TargetMode="External"/><Relationship Id="rId24" Type="http://schemas.openxmlformats.org/officeDocument/2006/relationships/hyperlink" Target="https://prozorro.gov.ua/tender/UA-2022-04-08-001715-b" TargetMode="External"/><Relationship Id="rId32" Type="http://schemas.openxmlformats.org/officeDocument/2006/relationships/hyperlink" Target="https://prozorro.gov.ua/tender/UA-2022-06-03-003938-a" TargetMode="External"/><Relationship Id="rId37" Type="http://schemas.openxmlformats.org/officeDocument/2006/relationships/hyperlink" Target="https://prozorro.gov.ua/tender/UA-2022-06-21-003178-a" TargetMode="External"/><Relationship Id="rId40" Type="http://schemas.openxmlformats.org/officeDocument/2006/relationships/hyperlink" Target="https://prozorro.gov.ua/tender/UA-2022-06-23-000751-a" TargetMode="External"/><Relationship Id="rId45" Type="http://schemas.openxmlformats.org/officeDocument/2006/relationships/hyperlink" Target="https://prozorro.gov.ua/tender/UA-2022-07-01-005673-a" TargetMode="External"/><Relationship Id="rId53" Type="http://schemas.openxmlformats.org/officeDocument/2006/relationships/hyperlink" Target="https://prozorro.gov.ua/tender/UA-2022-09-06-007256-a" TargetMode="External"/><Relationship Id="rId58" Type="http://schemas.openxmlformats.org/officeDocument/2006/relationships/hyperlink" Target="https://prozorro.gov.ua/tender/UA-2022-09-16-004153-a" TargetMode="External"/><Relationship Id="rId66" Type="http://schemas.openxmlformats.org/officeDocument/2006/relationships/hyperlink" Target="https://prozorro.gov.ua/tender/UA-2022-10-04-002820-a" TargetMode="External"/><Relationship Id="rId5" Type="http://schemas.openxmlformats.org/officeDocument/2006/relationships/hyperlink" Target="https://prozorro.gov.ua/tender/UA-2021-12-28-012359-c" TargetMode="External"/><Relationship Id="rId15" Type="http://schemas.openxmlformats.org/officeDocument/2006/relationships/hyperlink" Target="https://prozorro.gov.ua/tender/UA-2022-02-28-001856-a" TargetMode="External"/><Relationship Id="rId23" Type="http://schemas.openxmlformats.org/officeDocument/2006/relationships/hyperlink" Target="https://prozorro.gov.ua/tender/UA-2022-04-05-003127-b" TargetMode="External"/><Relationship Id="rId28" Type="http://schemas.openxmlformats.org/officeDocument/2006/relationships/hyperlink" Target="https://prozorro.gov.ua/tender/UA-2022-05-25-002037-a" TargetMode="External"/><Relationship Id="rId36" Type="http://schemas.openxmlformats.org/officeDocument/2006/relationships/hyperlink" Target="https://prozorro.gov.ua/tender/UA-2022-06-17-004896-a" TargetMode="External"/><Relationship Id="rId49" Type="http://schemas.openxmlformats.org/officeDocument/2006/relationships/hyperlink" Target="https://prozorro.gov.ua/tender/UA-2022-07-25-002801-a" TargetMode="External"/><Relationship Id="rId57" Type="http://schemas.openxmlformats.org/officeDocument/2006/relationships/hyperlink" Target="https://prozorro.gov.ua/tender/UA-2022-09-16-004153-a" TargetMode="External"/><Relationship Id="rId61" Type="http://schemas.openxmlformats.org/officeDocument/2006/relationships/hyperlink" Target="https://prozorro.gov.ua/tender/UA-2022-09-16-008121-a" TargetMode="External"/><Relationship Id="rId10" Type="http://schemas.openxmlformats.org/officeDocument/2006/relationships/hyperlink" Target="https://prozorro.gov.ua/tender/UA-2022-02-08-005472-b" TargetMode="External"/><Relationship Id="rId19" Type="http://schemas.openxmlformats.org/officeDocument/2006/relationships/hyperlink" Target="https://prozorro.gov.ua/tender/UA-2022-03-23-003545-b" TargetMode="External"/><Relationship Id="rId31" Type="http://schemas.openxmlformats.org/officeDocument/2006/relationships/hyperlink" Target="https://prozorro.gov.ua/tender/UA-2022-06-03-003938-a" TargetMode="External"/><Relationship Id="rId44" Type="http://schemas.openxmlformats.org/officeDocument/2006/relationships/hyperlink" Target="https://prozorro.gov.ua/tender/UA-2022-06-15-003341-a" TargetMode="External"/><Relationship Id="rId52" Type="http://schemas.openxmlformats.org/officeDocument/2006/relationships/hyperlink" Target="https://prozorro.gov.ua/tender/UA-2022-08-30-000874-a" TargetMode="External"/><Relationship Id="rId60" Type="http://schemas.openxmlformats.org/officeDocument/2006/relationships/hyperlink" Target="https://prozorro.gov.ua/tender/UA-2022-09-16-008376-a" TargetMode="External"/><Relationship Id="rId65" Type="http://schemas.openxmlformats.org/officeDocument/2006/relationships/hyperlink" Target="https://prozorro.gov.ua/tender/UA-2022-10-04-002820-a" TargetMode="External"/><Relationship Id="rId4" Type="http://schemas.openxmlformats.org/officeDocument/2006/relationships/hyperlink" Target="https://prozorro.gov.ua/tender/UA-2021-12-23-001011-c" TargetMode="External"/><Relationship Id="rId9" Type="http://schemas.openxmlformats.org/officeDocument/2006/relationships/hyperlink" Target="https://prozorro.gov.ua/tender/UA-2022-02-08-005472-b" TargetMode="External"/><Relationship Id="rId14" Type="http://schemas.openxmlformats.org/officeDocument/2006/relationships/hyperlink" Target="https://prozorro.gov.ua/tender/UA-2022-02-28-001856-a" TargetMode="External"/><Relationship Id="rId22" Type="http://schemas.openxmlformats.org/officeDocument/2006/relationships/hyperlink" Target="https://prozorro.gov.ua/tender/UA-2022-04-05-003127-b" TargetMode="External"/><Relationship Id="rId27" Type="http://schemas.openxmlformats.org/officeDocument/2006/relationships/hyperlink" Target="https://prozorro.gov.ua/tender/UA-2022-04-20-000925-a" TargetMode="External"/><Relationship Id="rId30" Type="http://schemas.openxmlformats.org/officeDocument/2006/relationships/hyperlink" Target="https://prozorro.gov.ua/tender/UA-2022-04-05-003127-b" TargetMode="External"/><Relationship Id="rId35" Type="http://schemas.openxmlformats.org/officeDocument/2006/relationships/hyperlink" Target="https://prozorro.gov.ua/tender/UA-2022-06-17-004896-a" TargetMode="External"/><Relationship Id="rId43" Type="http://schemas.openxmlformats.org/officeDocument/2006/relationships/hyperlink" Target="https://prozorro.gov.ua/tender/UA-2022-06-15-003341-a" TargetMode="External"/><Relationship Id="rId48" Type="http://schemas.openxmlformats.org/officeDocument/2006/relationships/hyperlink" Target="https://prozorro.gov.ua/tender/UA-2022-07-11-001697-a" TargetMode="External"/><Relationship Id="rId56" Type="http://schemas.openxmlformats.org/officeDocument/2006/relationships/hyperlink" Target="https://prozorro.gov.ua/tender/UA-2022-04-20-000925-a" TargetMode="External"/><Relationship Id="rId64" Type="http://schemas.openxmlformats.org/officeDocument/2006/relationships/hyperlink" Target="https://prozorro.gov.ua/tender/UA-2022-10-04-008957-a" TargetMode="External"/><Relationship Id="rId8" Type="http://schemas.openxmlformats.org/officeDocument/2006/relationships/hyperlink" Target="https://prozorro.gov.ua/tender/UA-2021-12-27-000964-c" TargetMode="External"/><Relationship Id="rId51" Type="http://schemas.openxmlformats.org/officeDocument/2006/relationships/hyperlink" Target="https://prozorro.gov.ua/tender/UA-2022-08-30-000874-a" TargetMode="External"/><Relationship Id="rId3" Type="http://schemas.openxmlformats.org/officeDocument/2006/relationships/hyperlink" Target="https://prozorro.gov.ua/tender/UA-2021-12-23-001011-c" TargetMode="External"/><Relationship Id="rId12" Type="http://schemas.openxmlformats.org/officeDocument/2006/relationships/hyperlink" Target="https://prozorro.gov.ua/tender/UA-2022-02-28-000885-a" TargetMode="External"/><Relationship Id="rId17" Type="http://schemas.openxmlformats.org/officeDocument/2006/relationships/hyperlink" Target="https://prozorro.gov.ua/tender/UA-2022-03-01-002063-a" TargetMode="External"/><Relationship Id="rId25" Type="http://schemas.openxmlformats.org/officeDocument/2006/relationships/hyperlink" Target="https://prozorro.gov.ua/tender/UA-2022-04-08-001715-b" TargetMode="External"/><Relationship Id="rId33" Type="http://schemas.openxmlformats.org/officeDocument/2006/relationships/hyperlink" Target="https://prozorro.gov.ua/tender/UA-2022-06-15-006450-a" TargetMode="External"/><Relationship Id="rId38" Type="http://schemas.openxmlformats.org/officeDocument/2006/relationships/hyperlink" Target="https://prozorro.gov.ua/tender/UA-2022-06-21-003178-a" TargetMode="External"/><Relationship Id="rId46" Type="http://schemas.openxmlformats.org/officeDocument/2006/relationships/hyperlink" Target="https://prozorro.gov.ua/tender/UA-2022-07-01-005673-a" TargetMode="External"/><Relationship Id="rId59" Type="http://schemas.openxmlformats.org/officeDocument/2006/relationships/hyperlink" Target="https://prozorro.gov.ua/tender/UA-2022-09-16-008376-a" TargetMode="External"/><Relationship Id="rId67" Type="http://schemas.openxmlformats.org/officeDocument/2006/relationships/hyperlink" Target="https://prozorro.gov.ua/tender/UA-2022-10-11-005598-a" TargetMode="External"/><Relationship Id="rId20" Type="http://schemas.openxmlformats.org/officeDocument/2006/relationships/hyperlink" Target="https://prozorro.gov.ua/tender/UA-2022-03-21-001032-a" TargetMode="External"/><Relationship Id="rId41" Type="http://schemas.openxmlformats.org/officeDocument/2006/relationships/hyperlink" Target="https://prozorro.gov.ua/tender/UA-2022-07-06-000137-a" TargetMode="External"/><Relationship Id="rId54" Type="http://schemas.openxmlformats.org/officeDocument/2006/relationships/hyperlink" Target="https://prozorro.gov.ua/tender/UA-2022-09-06-007256-a" TargetMode="External"/><Relationship Id="rId62" Type="http://schemas.openxmlformats.org/officeDocument/2006/relationships/hyperlink" Target="https://prozorro.gov.ua/tender/UA-2022-09-16-008121-a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prozorro.gov.ua/tender/UA-2022-11-15-000746-a" TargetMode="External"/><Relationship Id="rId1" Type="http://schemas.openxmlformats.org/officeDocument/2006/relationships/hyperlink" Target="https://prozorro.gov.ua/tender/UA-2022-11-15-000746-a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ezs.dkpp.rv.ua/index.php?level=15610000-7" TargetMode="External"/><Relationship Id="rId13" Type="http://schemas.openxmlformats.org/officeDocument/2006/relationships/hyperlink" Target="https://ezs.dkpp.rv.ua/index.php?search=15610000-7&amp;type=code" TargetMode="External"/><Relationship Id="rId18" Type="http://schemas.openxmlformats.org/officeDocument/2006/relationships/hyperlink" Target="https://ezs.dkpp.rv.ua/index.php?search=15610000-7&amp;type=code" TargetMode="External"/><Relationship Id="rId26" Type="http://schemas.openxmlformats.org/officeDocument/2006/relationships/hyperlink" Target="https://ezs.dkpp.rv.ua/index.php?level=15860000-4" TargetMode="External"/><Relationship Id="rId39" Type="http://schemas.openxmlformats.org/officeDocument/2006/relationships/hyperlink" Target="https://ezs.dkpp.rv.ua/index.php?search=15330000-0&amp;type=code" TargetMode="External"/><Relationship Id="rId3" Type="http://schemas.openxmlformats.org/officeDocument/2006/relationships/hyperlink" Target="https://ezs.dkpp.rv.ua/index.php?search=15810000-9&amp;type=code" TargetMode="External"/><Relationship Id="rId21" Type="http://schemas.openxmlformats.org/officeDocument/2006/relationships/hyperlink" Target="https://ezs.dkpp.rv.ua/index.php?level=15850000-1" TargetMode="External"/><Relationship Id="rId34" Type="http://schemas.openxmlformats.org/officeDocument/2006/relationships/hyperlink" Target="https://ezs.dkpp.rv.ua/index.php?level=15890000-3" TargetMode="External"/><Relationship Id="rId42" Type="http://schemas.openxmlformats.org/officeDocument/2006/relationships/hyperlink" Target="https://ezs.dkpp.rv.ua/index.php?level=15610000-7" TargetMode="External"/><Relationship Id="rId7" Type="http://schemas.openxmlformats.org/officeDocument/2006/relationships/hyperlink" Target="https://ezs.dkpp.rv.ua/index.php?search=15610000-7&amp;type=code" TargetMode="External"/><Relationship Id="rId12" Type="http://schemas.openxmlformats.org/officeDocument/2006/relationships/hyperlink" Target="https://ezs.dkpp.rv.ua/index.php?level=15610000-7" TargetMode="External"/><Relationship Id="rId17" Type="http://schemas.openxmlformats.org/officeDocument/2006/relationships/hyperlink" Target="https://ezs.dkpp.rv.ua/index.php?search=15610000-7&amp;type=code" TargetMode="External"/><Relationship Id="rId25" Type="http://schemas.openxmlformats.org/officeDocument/2006/relationships/hyperlink" Target="https://ezs.dkpp.rv.ua/index.php?search=15860000-4&amp;type=code" TargetMode="External"/><Relationship Id="rId33" Type="http://schemas.openxmlformats.org/officeDocument/2006/relationships/hyperlink" Target="https://ezs.dkpp.rv.ua/index.php?search=15890000-3&amp;type=code" TargetMode="External"/><Relationship Id="rId38" Type="http://schemas.openxmlformats.org/officeDocument/2006/relationships/hyperlink" Target="https://ezs.dkpp.rv.ua/index.php?level=15610000-7" TargetMode="External"/><Relationship Id="rId2" Type="http://schemas.openxmlformats.org/officeDocument/2006/relationships/hyperlink" Target="https://ezs.dkpp.rv.ua/index.php?level=15510000-6" TargetMode="External"/><Relationship Id="rId16" Type="http://schemas.openxmlformats.org/officeDocument/2006/relationships/hyperlink" Target="https://ezs.dkpp.rv.ua/index.php?level=15610000-7" TargetMode="External"/><Relationship Id="rId20" Type="http://schemas.openxmlformats.org/officeDocument/2006/relationships/hyperlink" Target="https://ezs.dkpp.rv.ua/index.php?search=15850000-1&amp;type=code" TargetMode="External"/><Relationship Id="rId29" Type="http://schemas.openxmlformats.org/officeDocument/2006/relationships/hyperlink" Target="https://ezs.dkpp.rv.ua/index.php?search=03220000-9&amp;type=code" TargetMode="External"/><Relationship Id="rId41" Type="http://schemas.openxmlformats.org/officeDocument/2006/relationships/hyperlink" Target="https://ezs.dkpp.rv.ua/index.php?search=15610000-7&amp;type=code" TargetMode="External"/><Relationship Id="rId1" Type="http://schemas.openxmlformats.org/officeDocument/2006/relationships/hyperlink" Target="https://ezs.dkpp.rv.ua/index.php?search=15510000-6&amp;type=code" TargetMode="External"/><Relationship Id="rId6" Type="http://schemas.openxmlformats.org/officeDocument/2006/relationships/hyperlink" Target="https://ezs.dkpp.rv.ua/index.php?level=03220000-9" TargetMode="External"/><Relationship Id="rId11" Type="http://schemas.openxmlformats.org/officeDocument/2006/relationships/hyperlink" Target="https://ezs.dkpp.rv.ua/index.php?search=15610000-7&amp;type=code" TargetMode="External"/><Relationship Id="rId24" Type="http://schemas.openxmlformats.org/officeDocument/2006/relationships/hyperlink" Target="https://prozorro.gov.ua/tender/UA-2021-04-09-007264-a" TargetMode="External"/><Relationship Id="rId32" Type="http://schemas.openxmlformats.org/officeDocument/2006/relationships/hyperlink" Target="https://ezs.dkpp.rv.ua/index.php?level=15610000-7" TargetMode="External"/><Relationship Id="rId37" Type="http://schemas.openxmlformats.org/officeDocument/2006/relationships/hyperlink" Target="https://ezs.dkpp.rv.ua/index.php?search=15610000-7&amp;type=code" TargetMode="External"/><Relationship Id="rId40" Type="http://schemas.openxmlformats.org/officeDocument/2006/relationships/hyperlink" Target="https://ezs.dkpp.rv.ua/index.php?level=15330000-0" TargetMode="External"/><Relationship Id="rId45" Type="http://schemas.openxmlformats.org/officeDocument/2006/relationships/printerSettings" Target="../printerSettings/printerSettings8.bin"/><Relationship Id="rId5" Type="http://schemas.openxmlformats.org/officeDocument/2006/relationships/hyperlink" Target="https://ezs.dkpp.rv.ua/index.php?search=03220000-9&amp;type=code" TargetMode="External"/><Relationship Id="rId15" Type="http://schemas.openxmlformats.org/officeDocument/2006/relationships/hyperlink" Target="https://ezs.dkpp.rv.ua/index.php?search=15610000-7&amp;type=code" TargetMode="External"/><Relationship Id="rId23" Type="http://schemas.openxmlformats.org/officeDocument/2006/relationships/hyperlink" Target="https://ezs.dkpp.rv.ua/index.php?search=15610000-7&amp;type=code" TargetMode="External"/><Relationship Id="rId28" Type="http://schemas.openxmlformats.org/officeDocument/2006/relationships/hyperlink" Target="https://ezs.dkpp.rv.ua/index.php?level=03220000-9" TargetMode="External"/><Relationship Id="rId36" Type="http://schemas.openxmlformats.org/officeDocument/2006/relationships/hyperlink" Target="https://ezs.dkpp.rv.ua/index.php?level=15610000-7" TargetMode="External"/><Relationship Id="rId10" Type="http://schemas.openxmlformats.org/officeDocument/2006/relationships/hyperlink" Target="https://ezs.dkpp.rv.ua/index.php?level=15610000-7" TargetMode="External"/><Relationship Id="rId19" Type="http://schemas.openxmlformats.org/officeDocument/2006/relationships/hyperlink" Target="https://ezs.dkpp.rv.ua/index.php?level=15610000-7" TargetMode="External"/><Relationship Id="rId31" Type="http://schemas.openxmlformats.org/officeDocument/2006/relationships/hyperlink" Target="https://ezs.dkpp.rv.ua/index.php?search=15610000-7&amp;type=code" TargetMode="External"/><Relationship Id="rId44" Type="http://schemas.openxmlformats.org/officeDocument/2006/relationships/hyperlink" Target="https://ezs.dkpp.rv.ua/index.php?level=03220000-9" TargetMode="External"/><Relationship Id="rId4" Type="http://schemas.openxmlformats.org/officeDocument/2006/relationships/hyperlink" Target="https://ezs.dkpp.rv.ua/index.php?level=15810000-9" TargetMode="External"/><Relationship Id="rId9" Type="http://schemas.openxmlformats.org/officeDocument/2006/relationships/hyperlink" Target="https://ezs.dkpp.rv.ua/index.php?search=15610000-7&amp;type=code" TargetMode="External"/><Relationship Id="rId14" Type="http://schemas.openxmlformats.org/officeDocument/2006/relationships/hyperlink" Target="https://ezs.dkpp.rv.ua/index.php?level=15610000-7" TargetMode="External"/><Relationship Id="rId22" Type="http://schemas.openxmlformats.org/officeDocument/2006/relationships/hyperlink" Target="https://ezs.dkpp.rv.ua/index.php?level=15610000-7" TargetMode="External"/><Relationship Id="rId27" Type="http://schemas.openxmlformats.org/officeDocument/2006/relationships/hyperlink" Target="https://ezs.dkpp.rv.ua/index.php?search=03220000-9&amp;type=code" TargetMode="External"/><Relationship Id="rId30" Type="http://schemas.openxmlformats.org/officeDocument/2006/relationships/hyperlink" Target="https://ezs.dkpp.rv.ua/index.php?level=03220000-9" TargetMode="External"/><Relationship Id="rId35" Type="http://schemas.openxmlformats.org/officeDocument/2006/relationships/hyperlink" Target="https://ezs.dkpp.rv.ua/index.php?search=15610000-7&amp;type=code" TargetMode="External"/><Relationship Id="rId43" Type="http://schemas.openxmlformats.org/officeDocument/2006/relationships/hyperlink" Target="https://ezs.dkpp.rv.ua/index.php?search=03220000-9&amp;type=cod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P366"/>
  <sheetViews>
    <sheetView showGridLines="0" tabSelected="1" view="pageBreakPreview" topLeftCell="A118" zoomScale="50" zoomScaleNormal="75" zoomScaleSheetLayoutView="50" workbookViewId="0">
      <selection activeCell="X78" sqref="X78"/>
    </sheetView>
  </sheetViews>
  <sheetFormatPr defaultColWidth="93.140625" defaultRowHeight="20.25"/>
  <cols>
    <col min="1" max="1" width="7.28515625" style="2" customWidth="1"/>
    <col min="2" max="2" width="106.42578125" style="1" customWidth="1"/>
    <col min="3" max="3" width="13.42578125" style="1465" bestFit="1" customWidth="1"/>
    <col min="4" max="4" width="18.140625" style="1465" hidden="1" customWidth="1"/>
    <col min="5" max="5" width="22.7109375" style="1465" hidden="1" customWidth="1"/>
    <col min="6" max="6" width="16.85546875" style="1465" hidden="1" customWidth="1"/>
    <col min="7" max="7" width="29.5703125" style="1" customWidth="1"/>
    <col min="8" max="11" width="22.5703125" style="1" customWidth="1"/>
    <col min="12" max="12" width="9.140625" style="2" customWidth="1"/>
    <col min="13" max="13" width="18.42578125" style="2" bestFit="1" customWidth="1"/>
    <col min="14" max="14" width="17.42578125" style="2" bestFit="1" customWidth="1"/>
    <col min="15" max="228" width="9.140625" style="2" customWidth="1"/>
    <col min="229" max="16384" width="93.140625" style="2"/>
  </cols>
  <sheetData>
    <row r="1" spans="2:11" s="1" customFormat="1">
      <c r="B1" s="1461"/>
      <c r="C1" s="1462"/>
      <c r="D1" s="1462"/>
      <c r="E1" s="1462"/>
      <c r="F1" s="1462"/>
      <c r="G1" s="1462"/>
    </row>
    <row r="2" spans="2:11" s="1" customFormat="1" ht="26.25">
      <c r="B2" s="1461"/>
      <c r="C2" s="1462" t="s">
        <v>1902</v>
      </c>
      <c r="D2" s="1462"/>
      <c r="E2" s="1462"/>
      <c r="F2" s="1462"/>
      <c r="G2" s="1462"/>
      <c r="H2" s="1532" t="s">
        <v>526</v>
      </c>
      <c r="I2" s="1524"/>
      <c r="J2" s="1532"/>
      <c r="K2" s="1532"/>
    </row>
    <row r="3" spans="2:11" s="1" customFormat="1" ht="26.25">
      <c r="B3" s="1461"/>
      <c r="C3" s="1462"/>
      <c r="D3" s="1462"/>
      <c r="E3" s="1462"/>
      <c r="F3" s="1462"/>
      <c r="G3" s="1462"/>
      <c r="H3" s="1524" t="s">
        <v>523</v>
      </c>
      <c r="I3" s="1524"/>
      <c r="J3" s="1533"/>
      <c r="K3" s="1533"/>
    </row>
    <row r="4" spans="2:11" s="1" customFormat="1" ht="26.25">
      <c r="B4" s="1461"/>
      <c r="C4" s="1462"/>
      <c r="D4" s="1462"/>
      <c r="E4" s="1462"/>
      <c r="F4" s="1462"/>
      <c r="G4" s="1462"/>
      <c r="H4" s="1524" t="s">
        <v>451</v>
      </c>
      <c r="I4" s="1524"/>
      <c r="J4" s="1533"/>
      <c r="K4" s="1533"/>
    </row>
    <row r="5" spans="2:11" s="1" customFormat="1" ht="26.25">
      <c r="B5" s="1463"/>
      <c r="H5" s="1534" t="s">
        <v>1788</v>
      </c>
      <c r="I5" s="1535"/>
      <c r="J5" s="1534"/>
      <c r="K5" s="1534"/>
    </row>
    <row r="6" spans="2:11" s="1" customFormat="1" ht="26.25">
      <c r="B6" s="1461"/>
      <c r="C6" s="1462"/>
      <c r="D6" s="1462"/>
      <c r="E6" s="1462"/>
      <c r="F6" s="1462"/>
      <c r="G6" s="1462"/>
      <c r="H6" s="1524" t="s">
        <v>1905</v>
      </c>
      <c r="I6" s="1524"/>
      <c r="J6" s="1524"/>
      <c r="K6" s="1524"/>
    </row>
    <row r="7" spans="2:11" s="1" customFormat="1" ht="26.25">
      <c r="B7" s="1464"/>
      <c r="C7" s="1462"/>
      <c r="D7" s="1462"/>
      <c r="E7" s="1462"/>
      <c r="F7" s="1462"/>
      <c r="G7" s="1462"/>
      <c r="H7" s="1535"/>
      <c r="I7" s="1535"/>
      <c r="J7" s="1536" t="s">
        <v>1789</v>
      </c>
      <c r="K7" s="1534"/>
    </row>
    <row r="8" spans="2:11" ht="26.25">
      <c r="B8" s="78"/>
      <c r="H8" s="1524" t="s">
        <v>524</v>
      </c>
      <c r="I8" s="1524"/>
      <c r="J8" s="1524"/>
      <c r="K8" s="1524"/>
    </row>
    <row r="9" spans="2:11" ht="26.25">
      <c r="H9" s="1534"/>
      <c r="I9" s="1535"/>
      <c r="J9" s="1534"/>
      <c r="K9" s="1532"/>
    </row>
    <row r="10" spans="2:11">
      <c r="H10" s="1466" t="s">
        <v>1906</v>
      </c>
      <c r="I10" s="1466"/>
      <c r="J10" s="1466"/>
      <c r="K10" s="1462"/>
    </row>
    <row r="12" spans="2:11">
      <c r="I12" s="1586" t="s">
        <v>1907</v>
      </c>
      <c r="J12" s="1586"/>
      <c r="K12" s="1467" t="s">
        <v>1999</v>
      </c>
    </row>
    <row r="13" spans="2:11">
      <c r="I13" s="1582" t="s">
        <v>1908</v>
      </c>
      <c r="J13" s="1582"/>
      <c r="K13" s="1468"/>
    </row>
    <row r="14" spans="2:11">
      <c r="I14" s="1582" t="s">
        <v>1909</v>
      </c>
      <c r="J14" s="1582"/>
      <c r="K14" s="1468"/>
    </row>
    <row r="15" spans="2:11">
      <c r="I15" s="1582" t="s">
        <v>1910</v>
      </c>
      <c r="J15" s="1582"/>
      <c r="K15" s="1468"/>
    </row>
    <row r="16" spans="2:11">
      <c r="I16" s="1576" t="s">
        <v>1911</v>
      </c>
      <c r="J16" s="1576"/>
      <c r="K16" s="1576"/>
    </row>
    <row r="18" spans="2:11" ht="21">
      <c r="B18" s="1469" t="s">
        <v>1912</v>
      </c>
      <c r="C18" s="1583">
        <v>2023</v>
      </c>
      <c r="D18" s="1584"/>
      <c r="E18" s="1584"/>
      <c r="F18" s="1584"/>
      <c r="G18" s="1584"/>
      <c r="H18" s="1585"/>
      <c r="I18" s="1576" t="s">
        <v>1913</v>
      </c>
      <c r="J18" s="1576"/>
      <c r="K18" s="1576"/>
    </row>
    <row r="19" spans="2:11" ht="69.95" customHeight="1">
      <c r="B19" s="1470" t="s">
        <v>2011</v>
      </c>
      <c r="C19" s="1571" t="s">
        <v>2142</v>
      </c>
      <c r="D19" s="1571"/>
      <c r="E19" s="1571"/>
      <c r="F19" s="1571"/>
      <c r="G19" s="1577"/>
      <c r="H19" s="1577"/>
      <c r="I19" s="1582" t="s">
        <v>1914</v>
      </c>
      <c r="J19" s="1582"/>
      <c r="K19" s="1471" t="s">
        <v>1785</v>
      </c>
    </row>
    <row r="20" spans="2:11">
      <c r="B20" s="1470" t="s">
        <v>1915</v>
      </c>
      <c r="C20" s="1571" t="s">
        <v>1781</v>
      </c>
      <c r="D20" s="1571"/>
      <c r="E20" s="1571"/>
      <c r="F20" s="1571"/>
      <c r="G20" s="1581"/>
      <c r="H20" s="1581"/>
      <c r="I20" s="1582" t="s">
        <v>1916</v>
      </c>
      <c r="J20" s="1582"/>
      <c r="K20" s="1468">
        <v>150</v>
      </c>
    </row>
    <row r="21" spans="2:11">
      <c r="B21" s="1470" t="s">
        <v>1917</v>
      </c>
      <c r="C21" s="1571" t="s">
        <v>1784</v>
      </c>
      <c r="D21" s="1571"/>
      <c r="E21" s="1571"/>
      <c r="F21" s="1571"/>
      <c r="G21" s="1577"/>
      <c r="H21" s="1577"/>
      <c r="I21" s="1582" t="s">
        <v>1918</v>
      </c>
      <c r="J21" s="1582"/>
      <c r="K21" s="1471" t="s">
        <v>1786</v>
      </c>
    </row>
    <row r="22" spans="2:11">
      <c r="B22" s="1470" t="s">
        <v>447</v>
      </c>
      <c r="C22" s="1571" t="s">
        <v>1782</v>
      </c>
      <c r="D22" s="1571"/>
      <c r="E22" s="1571"/>
      <c r="F22" s="1571"/>
      <c r="G22" s="1577"/>
      <c r="H22" s="1577"/>
      <c r="I22" s="1582" t="s">
        <v>1783</v>
      </c>
      <c r="J22" s="1582"/>
      <c r="K22" s="1468">
        <v>17184</v>
      </c>
    </row>
    <row r="23" spans="2:11">
      <c r="B23" s="1470" t="s">
        <v>1919</v>
      </c>
      <c r="C23" s="1571"/>
      <c r="D23" s="1571"/>
      <c r="E23" s="1571"/>
      <c r="F23" s="1571"/>
      <c r="G23" s="1577"/>
      <c r="H23" s="1577"/>
      <c r="I23" s="1582" t="s">
        <v>1920</v>
      </c>
      <c r="J23" s="1582"/>
      <c r="K23" s="1468"/>
    </row>
    <row r="24" spans="2:11">
      <c r="B24" s="1470" t="s">
        <v>1921</v>
      </c>
      <c r="C24" s="1568" t="s">
        <v>2130</v>
      </c>
      <c r="D24" s="1568"/>
      <c r="E24" s="1568"/>
      <c r="F24" s="1568"/>
      <c r="G24" s="1568"/>
      <c r="H24" s="1577"/>
      <c r="I24" s="1582" t="s">
        <v>1922</v>
      </c>
      <c r="J24" s="1582"/>
      <c r="K24" s="1468" t="s">
        <v>2134</v>
      </c>
    </row>
    <row r="25" spans="2:11">
      <c r="B25" s="1470" t="s">
        <v>1923</v>
      </c>
      <c r="C25" s="1568" t="s">
        <v>1641</v>
      </c>
      <c r="D25" s="1568"/>
      <c r="E25" s="1568"/>
      <c r="F25" s="1568"/>
      <c r="G25" s="1568"/>
      <c r="H25" s="1577"/>
      <c r="I25" s="1582"/>
      <c r="J25" s="1582"/>
      <c r="K25" s="1472"/>
    </row>
    <row r="26" spans="2:11">
      <c r="B26" s="1470" t="s">
        <v>1924</v>
      </c>
      <c r="C26" s="1568" t="s">
        <v>2131</v>
      </c>
      <c r="D26" s="1568"/>
      <c r="E26" s="1568"/>
      <c r="F26" s="1568"/>
      <c r="G26" s="1568"/>
      <c r="H26" s="1581"/>
      <c r="I26" s="1582"/>
      <c r="J26" s="1582"/>
      <c r="K26" s="1472"/>
    </row>
    <row r="27" spans="2:11">
      <c r="B27" s="1470" t="s">
        <v>1925</v>
      </c>
      <c r="C27" s="1570">
        <v>217</v>
      </c>
      <c r="D27" s="1570"/>
      <c r="E27" s="1570"/>
      <c r="F27" s="1570"/>
      <c r="G27" s="1570"/>
      <c r="H27" s="1571"/>
      <c r="I27" s="1568" t="s">
        <v>1926</v>
      </c>
      <c r="J27" s="1568"/>
      <c r="K27" s="1473"/>
    </row>
    <row r="28" spans="2:11" ht="44.25" customHeight="1">
      <c r="B28" s="1470" t="s">
        <v>1927</v>
      </c>
      <c r="C28" s="1574" t="s">
        <v>2132</v>
      </c>
      <c r="D28" s="1574"/>
      <c r="E28" s="1574"/>
      <c r="F28" s="1574"/>
      <c r="G28" s="1574"/>
      <c r="H28" s="1574"/>
      <c r="I28" s="1568" t="s">
        <v>1928</v>
      </c>
      <c r="J28" s="1568"/>
      <c r="K28" s="1474"/>
    </row>
    <row r="29" spans="2:11">
      <c r="B29" s="1470" t="s">
        <v>1929</v>
      </c>
      <c r="C29" s="1568" t="s">
        <v>1541</v>
      </c>
      <c r="D29" s="1568"/>
      <c r="E29" s="1568"/>
      <c r="F29" s="1568"/>
      <c r="G29" s="1568"/>
      <c r="H29" s="1569"/>
      <c r="I29" s="1568"/>
      <c r="J29" s="1568"/>
      <c r="K29" s="1474"/>
    </row>
    <row r="30" spans="2:11">
      <c r="B30" s="1470" t="s">
        <v>2012</v>
      </c>
      <c r="C30" s="1568" t="s">
        <v>2133</v>
      </c>
      <c r="D30" s="1568"/>
      <c r="E30" s="1568"/>
      <c r="F30" s="1568"/>
      <c r="G30" s="1568"/>
      <c r="H30" s="1569"/>
      <c r="I30" s="1568"/>
      <c r="J30" s="1568"/>
      <c r="K30" s="1472"/>
    </row>
    <row r="32" spans="2:11">
      <c r="B32" s="1575" t="s">
        <v>532</v>
      </c>
      <c r="C32" s="1575"/>
      <c r="D32" s="1575"/>
      <c r="E32" s="1575"/>
      <c r="F32" s="1575"/>
      <c r="G32" s="1575"/>
      <c r="H32" s="1575"/>
      <c r="I32" s="1575"/>
      <c r="J32" s="1575"/>
      <c r="K32" s="1575"/>
    </row>
    <row r="33" spans="2:11">
      <c r="B33" s="1475"/>
      <c r="C33" s="1476"/>
      <c r="D33" s="1475"/>
      <c r="E33" s="1475"/>
      <c r="F33" s="1475"/>
      <c r="G33" s="1475"/>
      <c r="H33" s="1475"/>
      <c r="I33" s="1475"/>
      <c r="J33" s="1475"/>
      <c r="K33" s="1475"/>
    </row>
    <row r="34" spans="2:11">
      <c r="B34" s="1576" t="s">
        <v>1930</v>
      </c>
      <c r="C34" s="1560" t="s">
        <v>1931</v>
      </c>
      <c r="D34" s="1560" t="s">
        <v>1773</v>
      </c>
      <c r="E34" s="1560" t="s">
        <v>2007</v>
      </c>
      <c r="F34" s="1560" t="s">
        <v>1932</v>
      </c>
      <c r="G34" s="1560" t="s">
        <v>1933</v>
      </c>
      <c r="H34" s="1560" t="s">
        <v>2008</v>
      </c>
      <c r="I34" s="1560"/>
      <c r="J34" s="1560"/>
      <c r="K34" s="1560"/>
    </row>
    <row r="35" spans="2:11">
      <c r="B35" s="1576"/>
      <c r="C35" s="1560"/>
      <c r="D35" s="1560"/>
      <c r="E35" s="1560"/>
      <c r="F35" s="1560"/>
      <c r="G35" s="1560"/>
      <c r="H35" s="1477" t="s">
        <v>1934</v>
      </c>
      <c r="I35" s="1477" t="s">
        <v>1935</v>
      </c>
      <c r="J35" s="1477" t="s">
        <v>1936</v>
      </c>
      <c r="K35" s="1477" t="s">
        <v>1937</v>
      </c>
    </row>
    <row r="36" spans="2:11" ht="21.75" customHeight="1">
      <c r="B36" s="1468">
        <v>1</v>
      </c>
      <c r="C36" s="1473">
        <v>2</v>
      </c>
      <c r="D36" s="1473"/>
      <c r="E36" s="1473">
        <v>3</v>
      </c>
      <c r="F36" s="1473"/>
      <c r="G36" s="1473">
        <v>3</v>
      </c>
      <c r="H36" s="1473">
        <v>4</v>
      </c>
      <c r="I36" s="1473">
        <v>5</v>
      </c>
      <c r="J36" s="1473">
        <v>6</v>
      </c>
      <c r="K36" s="1473">
        <v>7</v>
      </c>
    </row>
    <row r="37" spans="2:11" ht="21.75" customHeight="1">
      <c r="B37" s="1566" t="s">
        <v>2009</v>
      </c>
      <c r="C37" s="1566"/>
      <c r="D37" s="1566"/>
      <c r="E37" s="1566"/>
      <c r="F37" s="1566"/>
      <c r="G37" s="1566"/>
      <c r="H37" s="1566"/>
      <c r="I37" s="1566"/>
      <c r="J37" s="1566"/>
      <c r="K37" s="1566"/>
    </row>
    <row r="38" spans="2:11" s="3" customFormat="1" ht="21.75" customHeight="1">
      <c r="B38" s="1566" t="s">
        <v>1938</v>
      </c>
      <c r="C38" s="1566"/>
      <c r="D38" s="1566"/>
      <c r="E38" s="1566"/>
      <c r="F38" s="1566"/>
      <c r="G38" s="1566"/>
      <c r="H38" s="1566"/>
      <c r="I38" s="1566"/>
      <c r="J38" s="1566"/>
      <c r="K38" s="1566"/>
    </row>
    <row r="39" spans="2:11" s="3" customFormat="1" ht="30.75" customHeight="1">
      <c r="B39" s="1478" t="s">
        <v>1939</v>
      </c>
      <c r="C39" s="1479">
        <v>1010</v>
      </c>
      <c r="D39" s="1480"/>
      <c r="E39" s="1481">
        <f>G39</f>
        <v>55902038.829999998</v>
      </c>
      <c r="F39" s="1481">
        <f>E39</f>
        <v>55902038.829999998</v>
      </c>
      <c r="G39" s="1482">
        <f>H39+I39+J39+K39</f>
        <v>55902038.829999998</v>
      </c>
      <c r="H39" s="1482">
        <f ca="1">Доходи!D4+Доходи!D27</f>
        <v>14142180.530000001</v>
      </c>
      <c r="I39" s="1482">
        <f ca="1">Доходи!E4+Доходи!E27</f>
        <v>14248228.220000001</v>
      </c>
      <c r="J39" s="1482">
        <f ca="1">Доходи!F4+Доходи!F27</f>
        <v>13995171.02</v>
      </c>
      <c r="K39" s="1482">
        <f ca="1">Доходи!G4+Доходи!G27</f>
        <v>13516459.060000001</v>
      </c>
    </row>
    <row r="40" spans="2:11" s="3" customFormat="1" ht="21.75" customHeight="1">
      <c r="B40" s="1478" t="s">
        <v>1865</v>
      </c>
      <c r="C40" s="1479">
        <v>1020</v>
      </c>
      <c r="D40" s="1483">
        <f>SUM(D41:D43)</f>
        <v>0</v>
      </c>
      <c r="E40" s="1481">
        <f t="shared" ref="E40:E50" si="0">G40</f>
        <v>5589338.3138958029</v>
      </c>
      <c r="F40" s="1481">
        <f t="shared" ref="F40:F53" si="1">E40</f>
        <v>5589338.3138958029</v>
      </c>
      <c r="G40" s="1482">
        <f>H40+I40+J40+K40</f>
        <v>5589338.3138958029</v>
      </c>
      <c r="H40" s="1482">
        <f ca="1">SUM(H41:H43)</f>
        <v>2272670.4741830165</v>
      </c>
      <c r="I40" s="1482">
        <f ca="1">SUM(I41:I43)</f>
        <v>775787.69058346737</v>
      </c>
      <c r="J40" s="1482">
        <f ca="1">SUM(J41:J43)</f>
        <v>478008.10506355757</v>
      </c>
      <c r="K40" s="1482">
        <f ca="1">SUM(K41:K43)</f>
        <v>2062872.0440657611</v>
      </c>
    </row>
    <row r="41" spans="2:11" ht="21.75" customHeight="1">
      <c r="B41" s="1484" t="s">
        <v>2129</v>
      </c>
      <c r="C41" s="1485">
        <v>1021</v>
      </c>
      <c r="D41" s="1486"/>
      <c r="E41" s="1487">
        <f t="shared" si="0"/>
        <v>5589338.3138958029</v>
      </c>
      <c r="F41" s="1487">
        <f t="shared" si="1"/>
        <v>5589338.3138958029</v>
      </c>
      <c r="G41" s="1488">
        <f t="shared" ref="G41:G50" si="2">H41+I41+J41+K41</f>
        <v>5589338.3138958029</v>
      </c>
      <c r="H41" s="1488">
        <f ca="1">Доходи!D24</f>
        <v>2272670.4741830165</v>
      </c>
      <c r="I41" s="1488">
        <f ca="1">Доходи!E24</f>
        <v>775787.69058346737</v>
      </c>
      <c r="J41" s="1488">
        <f ca="1">Доходи!F24</f>
        <v>478008.10506355757</v>
      </c>
      <c r="K41" s="1488">
        <f ca="1">Доходи!G24</f>
        <v>2062872.0440657611</v>
      </c>
    </row>
    <row r="42" spans="2:11" s="3" customFormat="1" ht="21.75" customHeight="1">
      <c r="B42" s="1484" t="s">
        <v>2047</v>
      </c>
      <c r="C42" s="1485">
        <v>1022</v>
      </c>
      <c r="D42" s="1486"/>
      <c r="E42" s="1487">
        <f t="shared" si="0"/>
        <v>0</v>
      </c>
      <c r="F42" s="1487">
        <f t="shared" si="1"/>
        <v>0</v>
      </c>
      <c r="G42" s="1488">
        <f t="shared" si="2"/>
        <v>0</v>
      </c>
      <c r="H42" s="1488">
        <f ca="1">Доходи!D25</f>
        <v>0</v>
      </c>
      <c r="I42" s="1488">
        <f ca="1">Доходи!E25</f>
        <v>0</v>
      </c>
      <c r="J42" s="1488">
        <f ca="1">Доходи!F25</f>
        <v>0</v>
      </c>
      <c r="K42" s="1488">
        <f ca="1">Доходи!G25</f>
        <v>0</v>
      </c>
    </row>
    <row r="43" spans="2:11" s="3" customFormat="1" ht="21.75" customHeight="1">
      <c r="B43" s="1484" t="s">
        <v>1746</v>
      </c>
      <c r="C43" s="1485">
        <v>1023</v>
      </c>
      <c r="D43" s="1486"/>
      <c r="E43" s="1487">
        <f t="shared" si="0"/>
        <v>0</v>
      </c>
      <c r="F43" s="1487">
        <f t="shared" si="1"/>
        <v>0</v>
      </c>
      <c r="G43" s="1488">
        <f t="shared" si="2"/>
        <v>0</v>
      </c>
      <c r="H43" s="1488">
        <f ca="1">Доходи!D26</f>
        <v>0</v>
      </c>
      <c r="I43" s="1488">
        <f ca="1">Доходи!E26</f>
        <v>0</v>
      </c>
      <c r="J43" s="1488">
        <f ca="1">Доходи!F26</f>
        <v>0</v>
      </c>
      <c r="K43" s="1488">
        <f ca="1">Доходи!G26</f>
        <v>0</v>
      </c>
    </row>
    <row r="44" spans="2:11" s="3" customFormat="1" ht="21.75" customHeight="1">
      <c r="B44" s="1478" t="s">
        <v>2076</v>
      </c>
      <c r="C44" s="1479">
        <v>1030</v>
      </c>
      <c r="D44" s="1483">
        <f>SUM(D45:D47)</f>
        <v>0</v>
      </c>
      <c r="E44" s="1481">
        <f t="shared" si="0"/>
        <v>858000</v>
      </c>
      <c r="F44" s="1481">
        <f t="shared" si="1"/>
        <v>858000</v>
      </c>
      <c r="G44" s="1482">
        <f>H44+I44+J44+K44</f>
        <v>858000</v>
      </c>
      <c r="H44" s="1482">
        <f ca="1">SUM(H45:H47)+Доходи!D31</f>
        <v>214500</v>
      </c>
      <c r="I44" s="1482">
        <f ca="1">SUM(I45:I47)+Доходи!E31</f>
        <v>214500</v>
      </c>
      <c r="J44" s="1482">
        <f ca="1">SUM(J45:J47)+Доходи!F31</f>
        <v>214500</v>
      </c>
      <c r="K44" s="1482">
        <f ca="1">SUM(K45:K47)+Доходи!G31</f>
        <v>214500</v>
      </c>
    </row>
    <row r="45" spans="2:11" s="3" customFormat="1" ht="21.75" customHeight="1">
      <c r="B45" s="1484" t="s">
        <v>1941</v>
      </c>
      <c r="C45" s="1489">
        <v>1031</v>
      </c>
      <c r="D45" s="1486"/>
      <c r="E45" s="1487">
        <f t="shared" si="0"/>
        <v>846000</v>
      </c>
      <c r="F45" s="1487">
        <f t="shared" si="1"/>
        <v>846000</v>
      </c>
      <c r="G45" s="1488">
        <f t="shared" si="2"/>
        <v>846000</v>
      </c>
      <c r="H45" s="1488">
        <f ca="1">Доходи!D28</f>
        <v>211500</v>
      </c>
      <c r="I45" s="1488">
        <f ca="1">Доходи!E28</f>
        <v>211500</v>
      </c>
      <c r="J45" s="1488">
        <f ca="1">Доходи!F28</f>
        <v>211500</v>
      </c>
      <c r="K45" s="1488">
        <f ca="1">Доходи!G28</f>
        <v>211500</v>
      </c>
    </row>
    <row r="46" spans="2:11" s="3" customFormat="1" ht="21.75" customHeight="1">
      <c r="B46" s="1484" t="s">
        <v>2045</v>
      </c>
      <c r="C46" s="1489">
        <v>1032</v>
      </c>
      <c r="D46" s="1486"/>
      <c r="E46" s="1487">
        <f t="shared" si="0"/>
        <v>12000</v>
      </c>
      <c r="F46" s="1487">
        <f t="shared" si="1"/>
        <v>12000</v>
      </c>
      <c r="G46" s="1488">
        <f t="shared" si="2"/>
        <v>12000</v>
      </c>
      <c r="H46" s="1488">
        <f ca="1">Доходи!D30</f>
        <v>3000</v>
      </c>
      <c r="I46" s="1488">
        <f ca="1">Доходи!E30</f>
        <v>3000</v>
      </c>
      <c r="J46" s="1488">
        <f ca="1">Доходи!F30</f>
        <v>3000</v>
      </c>
      <c r="K46" s="1488">
        <f ca="1">Доходи!G30</f>
        <v>3000</v>
      </c>
    </row>
    <row r="47" spans="2:11" s="1405" customFormat="1" ht="21.75" customHeight="1">
      <c r="B47" s="1490" t="s">
        <v>1550</v>
      </c>
      <c r="C47" s="1491">
        <v>1033</v>
      </c>
      <c r="D47" s="1492"/>
      <c r="E47" s="1493">
        <f t="shared" si="0"/>
        <v>0</v>
      </c>
      <c r="F47" s="1493">
        <f t="shared" si="1"/>
        <v>0</v>
      </c>
      <c r="G47" s="1493">
        <f t="shared" si="2"/>
        <v>0</v>
      </c>
      <c r="H47" s="1493">
        <f ca="1">Доходи!D32</f>
        <v>0</v>
      </c>
      <c r="I47" s="1493">
        <f ca="1">Доходи!E32</f>
        <v>0</v>
      </c>
      <c r="J47" s="1493">
        <f ca="1">Доходи!F32</f>
        <v>0</v>
      </c>
      <c r="K47" s="1493">
        <f ca="1">Доходи!G32</f>
        <v>0</v>
      </c>
    </row>
    <row r="48" spans="2:11" s="1405" customFormat="1" ht="21.75" customHeight="1">
      <c r="B48" s="1494" t="s">
        <v>2044</v>
      </c>
      <c r="C48" s="1495">
        <v>1040</v>
      </c>
      <c r="D48" s="1496">
        <f>D50+D49</f>
        <v>0</v>
      </c>
      <c r="E48" s="1497">
        <f t="shared" si="0"/>
        <v>1200</v>
      </c>
      <c r="F48" s="1497">
        <f t="shared" si="1"/>
        <v>1200</v>
      </c>
      <c r="G48" s="1497">
        <f t="shared" si="2"/>
        <v>1200</v>
      </c>
      <c r="H48" s="1497">
        <f ca="1">H50+H49</f>
        <v>300</v>
      </c>
      <c r="I48" s="1497">
        <f ca="1">I50+I49</f>
        <v>300</v>
      </c>
      <c r="J48" s="1497">
        <f ca="1">J50+J49</f>
        <v>300</v>
      </c>
      <c r="K48" s="1497">
        <f ca="1">K50+K49</f>
        <v>300</v>
      </c>
    </row>
    <row r="49" spans="2:14" s="1405" customFormat="1" ht="21.75" customHeight="1">
      <c r="B49" s="1490" t="s">
        <v>2046</v>
      </c>
      <c r="C49" s="1491">
        <v>1041</v>
      </c>
      <c r="D49" s="1492"/>
      <c r="E49" s="1493">
        <f t="shared" si="0"/>
        <v>1200</v>
      </c>
      <c r="F49" s="1493">
        <f t="shared" si="1"/>
        <v>1200</v>
      </c>
      <c r="G49" s="1493">
        <f t="shared" si="2"/>
        <v>1200</v>
      </c>
      <c r="H49" s="1493">
        <f ca="1">Доходи!D29</f>
        <v>300</v>
      </c>
      <c r="I49" s="1493">
        <f ca="1">Доходи!E29</f>
        <v>300</v>
      </c>
      <c r="J49" s="1493">
        <f ca="1">Доходи!F29</f>
        <v>300</v>
      </c>
      <c r="K49" s="1493">
        <f ca="1">Доходи!G29</f>
        <v>300</v>
      </c>
    </row>
    <row r="50" spans="2:14" s="1405" customFormat="1" ht="21.75" customHeight="1">
      <c r="B50" s="1490" t="s">
        <v>1551</v>
      </c>
      <c r="C50" s="1491">
        <v>1042</v>
      </c>
      <c r="D50" s="1492"/>
      <c r="E50" s="1493">
        <f t="shared" si="0"/>
        <v>0</v>
      </c>
      <c r="F50" s="1493">
        <f t="shared" si="1"/>
        <v>0</v>
      </c>
      <c r="G50" s="1493">
        <f t="shared" si="2"/>
        <v>0</v>
      </c>
      <c r="H50" s="1493">
        <f ca="1">Доходи!D33</f>
        <v>0</v>
      </c>
      <c r="I50" s="1493">
        <f ca="1">Доходи!E33</f>
        <v>0</v>
      </c>
      <c r="J50" s="1493">
        <f ca="1">Доходи!F33</f>
        <v>0</v>
      </c>
      <c r="K50" s="1493">
        <f ca="1">Доходи!G33</f>
        <v>0</v>
      </c>
    </row>
    <row r="51" spans="2:14" ht="21.75" customHeight="1">
      <c r="B51" s="1573" t="s">
        <v>1942</v>
      </c>
      <c r="C51" s="1573"/>
      <c r="D51" s="1573"/>
      <c r="E51" s="1573"/>
      <c r="F51" s="1573"/>
      <c r="G51" s="1573"/>
      <c r="H51" s="1573"/>
      <c r="I51" s="1573"/>
      <c r="J51" s="1573"/>
      <c r="K51" s="1573"/>
      <c r="M51" s="1409"/>
    </row>
    <row r="52" spans="2:14" s="3" customFormat="1" ht="21.75" customHeight="1">
      <c r="B52" s="1478" t="s">
        <v>1943</v>
      </c>
      <c r="C52" s="1498">
        <v>1050</v>
      </c>
      <c r="D52" s="1481"/>
      <c r="E52" s="1481">
        <f>G52</f>
        <v>33712367.192528456</v>
      </c>
      <c r="F52" s="1481">
        <f t="shared" si="1"/>
        <v>33712367.192528456</v>
      </c>
      <c r="G52" s="1482">
        <f>H52+I52+J52+K52</f>
        <v>33712367.192528456</v>
      </c>
      <c r="H52" s="1482">
        <f ca="1">Видатки!AG14+Видатки!AG16+Видатки!AG18+Видатки!AG20</f>
        <v>8534063.5302729104</v>
      </c>
      <c r="I52" s="1482">
        <f ca="1">Видатки!AH14+Видатки!AH16+Видатки!AH18+Видатки!AH20</f>
        <v>8339347.4087636806</v>
      </c>
      <c r="J52" s="1482">
        <f ca="1">Видатки!AI14+Видатки!AI16+Видатки!AI18+Видатки!AI20</f>
        <v>8312693.2685622517</v>
      </c>
      <c r="K52" s="1482">
        <f ca="1">Видатки!AJ14+Видатки!AJ16+Видатки!AJ18+Видатки!AJ20</f>
        <v>8526262.9849296156</v>
      </c>
      <c r="M52" s="1390"/>
    </row>
    <row r="53" spans="2:14" s="3" customFormat="1" ht="21.75" customHeight="1">
      <c r="B53" s="1478" t="s">
        <v>1944</v>
      </c>
      <c r="C53" s="1498">
        <v>1060</v>
      </c>
      <c r="D53" s="1481"/>
      <c r="E53" s="1481">
        <f>G53</f>
        <v>7248158.9463936184</v>
      </c>
      <c r="F53" s="1481">
        <f t="shared" si="1"/>
        <v>7248158.9463936184</v>
      </c>
      <c r="G53" s="1482">
        <f>H53+I53+J53+K53</f>
        <v>7248158.9463936184</v>
      </c>
      <c r="H53" s="1482">
        <f ca="1">Видатки!AQ14+Видатки!AQ16+Видатки!AQ18+Видатки!AQ20</f>
        <v>1834823.659008676</v>
      </c>
      <c r="I53" s="1482">
        <f ca="1">Видатки!AR14+Видатки!AR16+Видатки!AR18+Видатки!AR20</f>
        <v>1792959.6928841914</v>
      </c>
      <c r="J53" s="1482">
        <f ca="1">Видатки!AS14+Видатки!AS16+Видатки!AS18+Видатки!AS20</f>
        <v>1787229.0527408845</v>
      </c>
      <c r="K53" s="1482">
        <f ca="1">Видатки!AT14+Видатки!AT16+Видатки!AT18+Видатки!AT20</f>
        <v>1833146.5417598672</v>
      </c>
      <c r="M53" s="1390"/>
    </row>
    <row r="54" spans="2:14" s="3" customFormat="1" ht="21.75" customHeight="1">
      <c r="B54" s="1499" t="s">
        <v>1818</v>
      </c>
      <c r="C54" s="1498">
        <v>1070</v>
      </c>
      <c r="D54" s="1572"/>
      <c r="E54" s="1572"/>
      <c r="F54" s="1572"/>
      <c r="G54" s="1572"/>
      <c r="H54" s="1572"/>
      <c r="I54" s="1572"/>
      <c r="J54" s="1572"/>
      <c r="K54" s="1572"/>
    </row>
    <row r="55" spans="2:14" s="3" customFormat="1" ht="21.75" customHeight="1">
      <c r="B55" s="1500" t="s">
        <v>1833</v>
      </c>
      <c r="C55" s="1498">
        <v>1071</v>
      </c>
      <c r="D55" s="1481"/>
      <c r="E55" s="1481">
        <f>G55</f>
        <v>3421549.4742924999</v>
      </c>
      <c r="F55" s="1481">
        <f t="shared" ref="F55:F61" si="3">E55</f>
        <v>3421549.4742924999</v>
      </c>
      <c r="G55" s="1482">
        <f>H55+I55+J55+K55</f>
        <v>3421549.4742924999</v>
      </c>
      <c r="H55" s="1482">
        <f ca="1">Видатки!AG10+Видатки!AG12</f>
        <v>855387.36857312499</v>
      </c>
      <c r="I55" s="1482">
        <f ca="1">Видатки!AH10+Видатки!AH12</f>
        <v>855387.36857312499</v>
      </c>
      <c r="J55" s="1482">
        <f ca="1">Видатки!AI10+Видатки!AI12</f>
        <v>855387.36857312499</v>
      </c>
      <c r="K55" s="1482">
        <f ca="1">Видатки!AJ10+Видатки!AJ12</f>
        <v>855387.36857312499</v>
      </c>
    </row>
    <row r="56" spans="2:14" s="3" customFormat="1" ht="21.75" customHeight="1">
      <c r="B56" s="1500" t="s">
        <v>1834</v>
      </c>
      <c r="C56" s="1498">
        <v>1072</v>
      </c>
      <c r="D56" s="1481"/>
      <c r="E56" s="1481">
        <f t="shared" ref="E56:E61" si="4">G56</f>
        <v>735633.13697288744</v>
      </c>
      <c r="F56" s="1481">
        <f t="shared" si="3"/>
        <v>735633.13697288744</v>
      </c>
      <c r="G56" s="1482">
        <f t="shared" ref="G56:G73" si="5">H56+I56+J56+K56</f>
        <v>735633.13697288744</v>
      </c>
      <c r="H56" s="1482">
        <f ca="1">Видатки!AQ10+Видатки!AQ12</f>
        <v>183908.28424322186</v>
      </c>
      <c r="I56" s="1482">
        <f ca="1">Видатки!AR10+Видатки!AR12</f>
        <v>183908.28424322186</v>
      </c>
      <c r="J56" s="1482">
        <f ca="1">Видатки!AS10+Видатки!AS12</f>
        <v>183908.28424322186</v>
      </c>
      <c r="K56" s="1482">
        <f ca="1">Видатки!AT10+Видатки!AT12</f>
        <v>183908.28424322186</v>
      </c>
    </row>
    <row r="57" spans="2:14" s="1389" customFormat="1" ht="21.75" customHeight="1">
      <c r="B57" s="1490" t="s">
        <v>2138</v>
      </c>
      <c r="C57" s="1491">
        <v>1073</v>
      </c>
      <c r="D57" s="1493"/>
      <c r="E57" s="1493">
        <f t="shared" si="4"/>
        <v>60000</v>
      </c>
      <c r="F57" s="1493">
        <f t="shared" si="3"/>
        <v>60000</v>
      </c>
      <c r="G57" s="1493">
        <f t="shared" si="5"/>
        <v>60000</v>
      </c>
      <c r="H57" s="1493">
        <f ca="1">'0'!C144</f>
        <v>15000</v>
      </c>
      <c r="I57" s="1493">
        <f ca="1">'0'!D144</f>
        <v>15000</v>
      </c>
      <c r="J57" s="1493">
        <f ca="1">'0'!E144</f>
        <v>15000</v>
      </c>
      <c r="K57" s="1493">
        <f ca="1">'0'!F144</f>
        <v>15000</v>
      </c>
    </row>
    <row r="58" spans="2:14" s="3" customFormat="1" ht="21.75" customHeight="1">
      <c r="B58" s="1501" t="s">
        <v>1945</v>
      </c>
      <c r="C58" s="1498">
        <v>1080</v>
      </c>
      <c r="D58" s="1481"/>
      <c r="E58" s="1481">
        <f t="shared" si="4"/>
        <v>4862005.3422999997</v>
      </c>
      <c r="F58" s="1481">
        <f t="shared" si="3"/>
        <v>4862005.3422999997</v>
      </c>
      <c r="G58" s="1482">
        <f t="shared" si="5"/>
        <v>4862005.3422999997</v>
      </c>
      <c r="H58" s="1482">
        <f ca="1">Видатки!E72</f>
        <v>1215501.3355749999</v>
      </c>
      <c r="I58" s="1482">
        <f ca="1">Видатки!F72</f>
        <v>1215501.3355749999</v>
      </c>
      <c r="J58" s="1482">
        <f ca="1">Видатки!G72</f>
        <v>1215501.3355749999</v>
      </c>
      <c r="K58" s="1482">
        <f ca="1">Видатки!H72</f>
        <v>1215501.3355749999</v>
      </c>
      <c r="M58" s="1408"/>
    </row>
    <row r="59" spans="2:14" s="3" customFormat="1" ht="21.75" customHeight="1">
      <c r="B59" s="1478" t="s">
        <v>1946</v>
      </c>
      <c r="C59" s="1498">
        <v>1090</v>
      </c>
      <c r="D59" s="1481"/>
      <c r="E59" s="1481">
        <f t="shared" si="4"/>
        <v>994326</v>
      </c>
      <c r="F59" s="1481">
        <f t="shared" si="3"/>
        <v>994326</v>
      </c>
      <c r="G59" s="1482">
        <f t="shared" si="5"/>
        <v>994326</v>
      </c>
      <c r="H59" s="1482">
        <f ca="1">Видатки!E73</f>
        <v>248581.5</v>
      </c>
      <c r="I59" s="1482">
        <f ca="1">Видатки!F73</f>
        <v>248581.5</v>
      </c>
      <c r="J59" s="1482">
        <f ca="1">Видатки!G73</f>
        <v>248581.5</v>
      </c>
      <c r="K59" s="1482">
        <f ca="1">Видатки!H73</f>
        <v>248581.5</v>
      </c>
      <c r="M59" s="1408"/>
    </row>
    <row r="60" spans="2:14" s="3" customFormat="1" ht="21.75" customHeight="1">
      <c r="B60" s="1478" t="s">
        <v>1947</v>
      </c>
      <c r="C60" s="1498">
        <v>1100</v>
      </c>
      <c r="D60" s="1481"/>
      <c r="E60" s="1481">
        <f t="shared" si="4"/>
        <v>1066493.6599999999</v>
      </c>
      <c r="F60" s="1481">
        <f t="shared" si="3"/>
        <v>1066493.6599999999</v>
      </c>
      <c r="G60" s="1482">
        <f t="shared" si="5"/>
        <v>1066493.6599999999</v>
      </c>
      <c r="H60" s="1482">
        <f ca="1">Видатки!E74-H76</f>
        <v>274425.25</v>
      </c>
      <c r="I60" s="1482">
        <f ca="1">Видатки!F74-I76</f>
        <v>288668.92000000004</v>
      </c>
      <c r="J60" s="1482">
        <f ca="1">Видатки!G74-J76</f>
        <v>300319.71999999997</v>
      </c>
      <c r="K60" s="1482">
        <f ca="1">Видатки!H74-K76</f>
        <v>203079.77</v>
      </c>
      <c r="M60" s="1408"/>
      <c r="N60" s="1408"/>
    </row>
    <row r="61" spans="2:14" s="3" customFormat="1" ht="21.75" customHeight="1">
      <c r="B61" s="1478" t="s">
        <v>1948</v>
      </c>
      <c r="C61" s="1498">
        <v>1110</v>
      </c>
      <c r="D61" s="1481"/>
      <c r="E61" s="1481">
        <f t="shared" si="4"/>
        <v>10000</v>
      </c>
      <c r="F61" s="1481">
        <f t="shared" si="3"/>
        <v>10000</v>
      </c>
      <c r="G61" s="1482">
        <f t="shared" si="5"/>
        <v>10000</v>
      </c>
      <c r="H61" s="1482">
        <f ca="1">Деталізація!O34</f>
        <v>10000</v>
      </c>
      <c r="I61" s="1482">
        <f ca="1">Деталізація!P34</f>
        <v>0</v>
      </c>
      <c r="J61" s="1482">
        <f ca="1">Деталізація!Q34</f>
        <v>0</v>
      </c>
      <c r="K61" s="1482">
        <f ca="1">Деталізація!R34</f>
        <v>0</v>
      </c>
      <c r="M61" s="1408"/>
    </row>
    <row r="62" spans="2:14" s="3" customFormat="1" ht="21.75" customHeight="1">
      <c r="B62" s="1478" t="s">
        <v>2010</v>
      </c>
      <c r="C62" s="1498">
        <v>1120</v>
      </c>
      <c r="D62" s="1482">
        <f>SUM(D63:D68)</f>
        <v>0</v>
      </c>
      <c r="E62" s="1482">
        <f>SUM(E63:E68)</f>
        <v>6292321.4000000004</v>
      </c>
      <c r="F62" s="1482">
        <f>SUM(F63:F68)</f>
        <v>6292321.4000000004</v>
      </c>
      <c r="G62" s="1482">
        <f t="shared" si="5"/>
        <v>6292321.4000000004</v>
      </c>
      <c r="H62" s="1482">
        <f ca="1">SUM(H63:H68)</f>
        <v>2553795.0802197801</v>
      </c>
      <c r="I62" s="1482">
        <f ca="1">SUM(I63:I68)</f>
        <v>876362.39670329669</v>
      </c>
      <c r="J62" s="1482">
        <f ca="1">SUM(J63:J68)</f>
        <v>542690.6</v>
      </c>
      <c r="K62" s="1482">
        <f ca="1">SUM(K63:K68)</f>
        <v>2319473.3230769234</v>
      </c>
      <c r="M62" s="1408"/>
    </row>
    <row r="63" spans="2:14" ht="21.75" customHeight="1">
      <c r="B63" s="1484" t="s">
        <v>1827</v>
      </c>
      <c r="C63" s="1489">
        <v>1121</v>
      </c>
      <c r="D63" s="1487"/>
      <c r="E63" s="1487">
        <f>G63</f>
        <v>0</v>
      </c>
      <c r="F63" s="1487">
        <f t="shared" ref="F63:F73" si="6">E63</f>
        <v>0</v>
      </c>
      <c r="G63" s="1488">
        <f t="shared" si="5"/>
        <v>0</v>
      </c>
      <c r="H63" s="1488">
        <f ca="1">Видатки!E31</f>
        <v>0</v>
      </c>
      <c r="I63" s="1488">
        <f ca="1">Видатки!F31</f>
        <v>0</v>
      </c>
      <c r="J63" s="1488">
        <f ca="1">Видатки!G31</f>
        <v>0</v>
      </c>
      <c r="K63" s="1488">
        <f ca="1">Видатки!H31</f>
        <v>0</v>
      </c>
    </row>
    <row r="64" spans="2:14" ht="21.75" customHeight="1">
      <c r="B64" s="1484" t="s">
        <v>1828</v>
      </c>
      <c r="C64" s="1489">
        <v>1122</v>
      </c>
      <c r="D64" s="1487"/>
      <c r="E64" s="1487">
        <f t="shared" ref="E64:E71" si="7">G64</f>
        <v>0</v>
      </c>
      <c r="F64" s="1487">
        <f t="shared" si="6"/>
        <v>0</v>
      </c>
      <c r="G64" s="1488">
        <f t="shared" si="5"/>
        <v>0</v>
      </c>
      <c r="H64" s="1488">
        <f ca="1">Видатки!E43+Видатки!E40+Видатки!E37</f>
        <v>0</v>
      </c>
      <c r="I64" s="1488">
        <f ca="1">Видатки!F43+Видатки!F40+Видатки!F37</f>
        <v>0</v>
      </c>
      <c r="J64" s="1488">
        <f ca="1">Видатки!G43+Видатки!G40+Видатки!G37</f>
        <v>0</v>
      </c>
      <c r="K64" s="1488">
        <f ca="1">Видатки!H43+Видатки!H40+Видатки!H37</f>
        <v>0</v>
      </c>
    </row>
    <row r="65" spans="2:14" ht="21.75" customHeight="1">
      <c r="B65" s="1484" t="s">
        <v>1829</v>
      </c>
      <c r="C65" s="1489">
        <v>1123</v>
      </c>
      <c r="D65" s="1487"/>
      <c r="E65" s="1487">
        <f t="shared" si="7"/>
        <v>2591795</v>
      </c>
      <c r="F65" s="1487">
        <f t="shared" si="6"/>
        <v>2591795</v>
      </c>
      <c r="G65" s="1488">
        <f t="shared" si="5"/>
        <v>2591795</v>
      </c>
      <c r="H65" s="1488">
        <f ca="1">Видатки!E56</f>
        <v>748443.7</v>
      </c>
      <c r="I65" s="1488">
        <f ca="1">Видатки!F56</f>
        <v>554527.5</v>
      </c>
      <c r="J65" s="1488">
        <f ca="1">Видатки!G56</f>
        <v>517559</v>
      </c>
      <c r="K65" s="1488">
        <f ca="1">Видатки!H56</f>
        <v>771264.8</v>
      </c>
    </row>
    <row r="66" spans="2:14" ht="21.75" customHeight="1">
      <c r="B66" s="1484" t="s">
        <v>1830</v>
      </c>
      <c r="C66" s="1489">
        <v>1124</v>
      </c>
      <c r="D66" s="1487"/>
      <c r="E66" s="1487">
        <f t="shared" si="7"/>
        <v>0</v>
      </c>
      <c r="F66" s="1487">
        <f t="shared" si="6"/>
        <v>0</v>
      </c>
      <c r="G66" s="1488">
        <f t="shared" si="5"/>
        <v>0</v>
      </c>
      <c r="H66" s="1488">
        <f ca="1">Видатки!E62</f>
        <v>0</v>
      </c>
      <c r="I66" s="1488">
        <f ca="1">Видатки!F62</f>
        <v>0</v>
      </c>
      <c r="J66" s="1488">
        <f ca="1">Видатки!G62</f>
        <v>0</v>
      </c>
      <c r="K66" s="1488">
        <f ca="1">Видатки!H62</f>
        <v>0</v>
      </c>
    </row>
    <row r="67" spans="2:14" ht="21.75" customHeight="1">
      <c r="B67" s="1484" t="s">
        <v>1831</v>
      </c>
      <c r="C67" s="1489">
        <v>1125</v>
      </c>
      <c r="D67" s="1487"/>
      <c r="E67" s="1487">
        <f t="shared" si="7"/>
        <v>3700526.4</v>
      </c>
      <c r="F67" s="1487">
        <f t="shared" si="6"/>
        <v>3700526.4</v>
      </c>
      <c r="G67" s="1488">
        <f t="shared" si="5"/>
        <v>3700526.4</v>
      </c>
      <c r="H67" s="1488">
        <f ca="1">Видатки!E76+Видатки!E77</f>
        <v>1805351.3802197801</v>
      </c>
      <c r="I67" s="1488">
        <f ca="1">Видатки!F76+Видатки!F77</f>
        <v>321834.89670329669</v>
      </c>
      <c r="J67" s="1488">
        <f ca="1">Видатки!G76+Видатки!G77</f>
        <v>25131.599999999999</v>
      </c>
      <c r="K67" s="1488">
        <f ca="1">Видатки!H76+Видатки!H77</f>
        <v>1548208.5230769231</v>
      </c>
    </row>
    <row r="68" spans="2:14" ht="21.75" customHeight="1">
      <c r="B68" s="1484" t="s">
        <v>1832</v>
      </c>
      <c r="C68" s="1489">
        <v>1126</v>
      </c>
      <c r="D68" s="1487">
        <v>0</v>
      </c>
      <c r="E68" s="1487">
        <f t="shared" si="7"/>
        <v>0</v>
      </c>
      <c r="F68" s="1487">
        <f t="shared" si="6"/>
        <v>0</v>
      </c>
      <c r="G68" s="1488">
        <f t="shared" si="5"/>
        <v>0</v>
      </c>
      <c r="H68" s="1488">
        <f ca="1">Видатки!E78</f>
        <v>0</v>
      </c>
      <c r="I68" s="1488">
        <f ca="1">Видатки!F78</f>
        <v>0</v>
      </c>
      <c r="J68" s="1488">
        <f ca="1">Видатки!G78</f>
        <v>0</v>
      </c>
      <c r="K68" s="1488">
        <f ca="1">Видатки!H78</f>
        <v>0</v>
      </c>
    </row>
    <row r="69" spans="2:14" ht="21.75" customHeight="1">
      <c r="B69" s="1502" t="s">
        <v>1951</v>
      </c>
      <c r="C69" s="1489">
        <v>1130</v>
      </c>
      <c r="D69" s="1487">
        <v>0</v>
      </c>
      <c r="E69" s="1487">
        <f t="shared" si="7"/>
        <v>0</v>
      </c>
      <c r="F69" s="1487">
        <f t="shared" si="6"/>
        <v>0</v>
      </c>
      <c r="G69" s="1488">
        <f t="shared" si="5"/>
        <v>0</v>
      </c>
      <c r="H69" s="1488">
        <f ca="1">Видатки!E79</f>
        <v>0</v>
      </c>
      <c r="I69" s="1488">
        <f ca="1">Видатки!F79</f>
        <v>0</v>
      </c>
      <c r="J69" s="1488">
        <f ca="1">Видатки!G79</f>
        <v>0</v>
      </c>
      <c r="K69" s="1488">
        <f ca="1">Видатки!H79</f>
        <v>0</v>
      </c>
    </row>
    <row r="70" spans="2:14" s="3" customFormat="1" ht="21.75" customHeight="1">
      <c r="B70" s="1478" t="s">
        <v>1952</v>
      </c>
      <c r="C70" s="1498">
        <v>1140</v>
      </c>
      <c r="D70" s="1481"/>
      <c r="E70" s="1481">
        <f t="shared" si="7"/>
        <v>72000</v>
      </c>
      <c r="F70" s="1481">
        <f t="shared" si="6"/>
        <v>72000</v>
      </c>
      <c r="G70" s="1482">
        <f t="shared" si="5"/>
        <v>72000</v>
      </c>
      <c r="H70" s="1482">
        <f ca="1">Видатки!E80</f>
        <v>18000</v>
      </c>
      <c r="I70" s="1482">
        <f ca="1">Видатки!F80</f>
        <v>18000</v>
      </c>
      <c r="J70" s="1482">
        <f ca="1">Видатки!G80</f>
        <v>18000</v>
      </c>
      <c r="K70" s="1482">
        <f ca="1">Видатки!H80</f>
        <v>18000</v>
      </c>
      <c r="M70" s="1408"/>
    </row>
    <row r="71" spans="2:14" s="3" customFormat="1" ht="21.75" customHeight="1">
      <c r="B71" s="1478" t="s">
        <v>1953</v>
      </c>
      <c r="C71" s="1498">
        <v>1150</v>
      </c>
      <c r="D71" s="1481"/>
      <c r="E71" s="1481">
        <f t="shared" si="7"/>
        <v>1201222</v>
      </c>
      <c r="F71" s="1481">
        <f t="shared" si="6"/>
        <v>1201222</v>
      </c>
      <c r="G71" s="1482">
        <f t="shared" si="5"/>
        <v>1201222</v>
      </c>
      <c r="H71" s="1482">
        <f ca="1">Видатки!E81-H57</f>
        <v>304790</v>
      </c>
      <c r="I71" s="1482">
        <f ca="1">Видатки!F81-I57</f>
        <v>280724</v>
      </c>
      <c r="J71" s="1482">
        <f ca="1">Видатки!G81-J57</f>
        <v>324293</v>
      </c>
      <c r="K71" s="1482">
        <f ca="1">Видатки!H81-K57</f>
        <v>291415</v>
      </c>
      <c r="M71" s="1408"/>
      <c r="N71" s="1408"/>
    </row>
    <row r="72" spans="2:14" s="465" customFormat="1" ht="27.75" customHeight="1">
      <c r="B72" s="1478" t="s">
        <v>1817</v>
      </c>
      <c r="C72" s="1498">
        <v>1160</v>
      </c>
      <c r="D72" s="1482">
        <f>D91</f>
        <v>0</v>
      </c>
      <c r="E72" s="1482">
        <f>E91</f>
        <v>2497000</v>
      </c>
      <c r="F72" s="1482">
        <f t="shared" si="6"/>
        <v>2497000</v>
      </c>
      <c r="G72" s="1482">
        <f t="shared" si="5"/>
        <v>2497000</v>
      </c>
      <c r="H72" s="1482">
        <f>H91</f>
        <v>537000</v>
      </c>
      <c r="I72" s="1482">
        <f>I91</f>
        <v>1080000</v>
      </c>
      <c r="J72" s="1482">
        <f>J91</f>
        <v>840000</v>
      </c>
      <c r="K72" s="1482">
        <f>K91</f>
        <v>40000</v>
      </c>
    </row>
    <row r="73" spans="2:14" s="1389" customFormat="1" ht="21.75" customHeight="1">
      <c r="B73" s="1490" t="s">
        <v>1747</v>
      </c>
      <c r="C73" s="1491">
        <v>1161</v>
      </c>
      <c r="D73" s="1493">
        <v>0</v>
      </c>
      <c r="E73" s="1493">
        <f>G73</f>
        <v>0</v>
      </c>
      <c r="F73" s="1493">
        <f t="shared" si="6"/>
        <v>0</v>
      </c>
      <c r="G73" s="1493">
        <f t="shared" si="5"/>
        <v>0</v>
      </c>
      <c r="H73" s="1493">
        <f ca="1">'0'!C149</f>
        <v>0</v>
      </c>
      <c r="I73" s="1493">
        <f ca="1">'0'!D149</f>
        <v>0</v>
      </c>
      <c r="J73" s="1493">
        <f ca="1">'0'!E149</f>
        <v>0</v>
      </c>
      <c r="K73" s="1493">
        <f ca="1">'0'!F149</f>
        <v>0</v>
      </c>
    </row>
    <row r="74" spans="2:14" s="1389" customFormat="1" ht="21.75" customHeight="1">
      <c r="B74" s="1490" t="s">
        <v>1748</v>
      </c>
      <c r="C74" s="1491">
        <v>1162</v>
      </c>
      <c r="D74" s="1493">
        <v>0</v>
      </c>
      <c r="E74" s="1493">
        <f>E93</f>
        <v>2297000</v>
      </c>
      <c r="F74" s="1493">
        <f t="shared" ref="F74:K74" si="8">F93</f>
        <v>2297000</v>
      </c>
      <c r="G74" s="1493">
        <f t="shared" si="8"/>
        <v>2297000</v>
      </c>
      <c r="H74" s="1493">
        <f>H93</f>
        <v>497000</v>
      </c>
      <c r="I74" s="1493">
        <f t="shared" si="8"/>
        <v>1000000</v>
      </c>
      <c r="J74" s="1493">
        <f t="shared" si="8"/>
        <v>800000</v>
      </c>
      <c r="K74" s="1493">
        <f t="shared" si="8"/>
        <v>0</v>
      </c>
    </row>
    <row r="75" spans="2:14" s="1389" customFormat="1" ht="21.75" customHeight="1">
      <c r="B75" s="1490" t="s">
        <v>1749</v>
      </c>
      <c r="C75" s="1491">
        <v>1163</v>
      </c>
      <c r="D75" s="1493">
        <v>0</v>
      </c>
      <c r="E75" s="1493">
        <f>E94</f>
        <v>200000</v>
      </c>
      <c r="F75" s="1493">
        <f t="shared" ref="F75:K75" si="9">F94</f>
        <v>200000</v>
      </c>
      <c r="G75" s="1493">
        <f t="shared" si="9"/>
        <v>200000</v>
      </c>
      <c r="H75" s="1493">
        <f t="shared" si="9"/>
        <v>40000</v>
      </c>
      <c r="I75" s="1493">
        <f t="shared" si="9"/>
        <v>80000</v>
      </c>
      <c r="J75" s="1493">
        <f t="shared" si="9"/>
        <v>40000</v>
      </c>
      <c r="K75" s="1493">
        <f t="shared" si="9"/>
        <v>40000</v>
      </c>
    </row>
    <row r="76" spans="2:14" s="3" customFormat="1" ht="21.75" customHeight="1">
      <c r="B76" s="1478" t="s">
        <v>1954</v>
      </c>
      <c r="C76" s="1498">
        <v>1170</v>
      </c>
      <c r="D76" s="1482">
        <f>D78+D77</f>
        <v>0</v>
      </c>
      <c r="E76" s="1482">
        <f>E78+E77</f>
        <v>177500</v>
      </c>
      <c r="F76" s="1482">
        <f>F78+F77</f>
        <v>177500</v>
      </c>
      <c r="G76" s="1482">
        <f>G77+G78</f>
        <v>177500</v>
      </c>
      <c r="H76" s="1482">
        <f>H77+H78</f>
        <v>44375</v>
      </c>
      <c r="I76" s="1482">
        <f>I77+I78</f>
        <v>44375</v>
      </c>
      <c r="J76" s="1482">
        <f>J77+J78</f>
        <v>44375</v>
      </c>
      <c r="K76" s="1482">
        <f>K77+K78</f>
        <v>44375</v>
      </c>
    </row>
    <row r="77" spans="2:14" ht="21.75" customHeight="1">
      <c r="B77" s="1484" t="s">
        <v>2079</v>
      </c>
      <c r="C77" s="1489">
        <v>1171</v>
      </c>
      <c r="D77" s="1487"/>
      <c r="E77" s="1487">
        <f>G77</f>
        <v>177500</v>
      </c>
      <c r="F77" s="1487">
        <f>E77</f>
        <v>177500</v>
      </c>
      <c r="G77" s="1488">
        <f>SUM(H77:K77)</f>
        <v>177500</v>
      </c>
      <c r="H77" s="1488">
        <f ca="1">Видатки!E84</f>
        <v>44375</v>
      </c>
      <c r="I77" s="1488">
        <f ca="1">Видатки!F84</f>
        <v>44375</v>
      </c>
      <c r="J77" s="1488">
        <f ca="1">Видатки!G84</f>
        <v>44375</v>
      </c>
      <c r="K77" s="1488">
        <f ca="1">Видатки!H84</f>
        <v>44375</v>
      </c>
    </row>
    <row r="78" spans="2:14" ht="21.75" customHeight="1">
      <c r="B78" s="1484" t="s">
        <v>1940</v>
      </c>
      <c r="C78" s="1489">
        <v>1172</v>
      </c>
      <c r="D78" s="1487"/>
      <c r="E78" s="1487">
        <f>G78</f>
        <v>0</v>
      </c>
      <c r="F78" s="1487">
        <f>E78</f>
        <v>0</v>
      </c>
      <c r="G78" s="1488">
        <f>H78+I78+J78+K78</f>
        <v>0</v>
      </c>
      <c r="H78" s="1488">
        <f ca="1">Видатки!E82</f>
        <v>0</v>
      </c>
      <c r="I78" s="1488">
        <f ca="1">Видатки!F82</f>
        <v>0</v>
      </c>
      <c r="J78" s="1488">
        <f ca="1">Видатки!G82</f>
        <v>0</v>
      </c>
      <c r="K78" s="1488">
        <f ca="1">Видатки!H82</f>
        <v>0</v>
      </c>
    </row>
    <row r="79" spans="2:14" ht="21.75" customHeight="1">
      <c r="B79" s="1502" t="s">
        <v>1955</v>
      </c>
      <c r="C79" s="1489">
        <v>1180</v>
      </c>
      <c r="D79" s="1487">
        <v>0</v>
      </c>
      <c r="E79" s="1487">
        <f>G79</f>
        <v>0</v>
      </c>
      <c r="F79" s="1487">
        <f>E79</f>
        <v>0</v>
      </c>
      <c r="G79" s="1488">
        <f>H79+I79+J79+K79</f>
        <v>0</v>
      </c>
      <c r="H79" s="1488">
        <f ca="1">Видатки!E83</f>
        <v>0</v>
      </c>
      <c r="I79" s="1488">
        <f ca="1">Видатки!F83</f>
        <v>0</v>
      </c>
      <c r="J79" s="1488">
        <f ca="1">Видатки!G83</f>
        <v>0</v>
      </c>
      <c r="K79" s="1488">
        <f ca="1">Видатки!H83</f>
        <v>0</v>
      </c>
    </row>
    <row r="80" spans="2:14" s="3" customFormat="1" ht="30.75" customHeight="1">
      <c r="B80" s="1478" t="s">
        <v>1956</v>
      </c>
      <c r="C80" s="1498">
        <v>1200</v>
      </c>
      <c r="D80" s="1482">
        <f>D39+D40+D44+D48</f>
        <v>0</v>
      </c>
      <c r="E80" s="1482">
        <f>E39+E40+E44+E48</f>
        <v>62350577.143895805</v>
      </c>
      <c r="F80" s="1482">
        <f>F39+F40+F44+F48</f>
        <v>62350577.143895805</v>
      </c>
      <c r="G80" s="1482">
        <f>H80+I80+J80+K80</f>
        <v>62350577.143895805</v>
      </c>
      <c r="H80" s="1482">
        <f>H39+H40+H44+H48</f>
        <v>16629651.004183017</v>
      </c>
      <c r="I80" s="1482">
        <f>I39+I40+I44+I48</f>
        <v>15238815.910583468</v>
      </c>
      <c r="J80" s="1482">
        <f>J39+J40+J44+J48</f>
        <v>14687979.125063557</v>
      </c>
      <c r="K80" s="1482">
        <f>K39+K40+K44+K48</f>
        <v>15794131.104065761</v>
      </c>
      <c r="N80" s="1390"/>
    </row>
    <row r="81" spans="2:14" s="3" customFormat="1" ht="30.75" customHeight="1">
      <c r="B81" s="1478" t="s">
        <v>1957</v>
      </c>
      <c r="C81" s="1498">
        <v>1300</v>
      </c>
      <c r="D81" s="1482">
        <f>SUM(D52:D53)+D69+D70+D71+D76+D79+D55+D56+D57+SUM(D58:D62)+D72</f>
        <v>0</v>
      </c>
      <c r="E81" s="1482">
        <f>SUM(E52:E53)+E69+E70+E71+E76+E79+E55+E56+E57+SUM(E58:E62)+E72</f>
        <v>62350577.152487464</v>
      </c>
      <c r="F81" s="1482">
        <f>SUM(F52:F53)+F69+F70+F71+F76+F79+F55+F56+F57+SUM(F58:F62)+F72</f>
        <v>62350577.152487464</v>
      </c>
      <c r="G81" s="1482">
        <f>H81+I81+J81+K81</f>
        <v>62350577.152487472</v>
      </c>
      <c r="H81" s="1482">
        <f>SUM(H52:H53)+H69+H70+H71+H76+H79+H55+H56+H57+SUM(H58:H62)+H72</f>
        <v>16629651.007892715</v>
      </c>
      <c r="I81" s="1482">
        <f>SUM(I52:I53)+I69+I70+I71+I76+I79+I55+I56+I57+SUM(I58:I62)+I72</f>
        <v>15238815.906742517</v>
      </c>
      <c r="J81" s="1482">
        <f>SUM(J52:J53)+J69+J70+J71+J76+J79+J55+J56+J57+SUM(J58:J62)+J72</f>
        <v>14687979.129694484</v>
      </c>
      <c r="K81" s="1482">
        <f>SUM(K52:K53)+K69+K70+K71+K76+K79+K55+K56+K57+SUM(K58:K62)+K72</f>
        <v>15794131.108157754</v>
      </c>
      <c r="M81" s="1390"/>
      <c r="N81" s="1390"/>
    </row>
    <row r="82" spans="2:14" s="3" customFormat="1">
      <c r="B82" s="1478" t="s">
        <v>1958</v>
      </c>
      <c r="C82" s="1498">
        <v>1400</v>
      </c>
      <c r="D82" s="1482">
        <f t="shared" ref="D82:K82" si="10">D80-D81</f>
        <v>0</v>
      </c>
      <c r="E82" s="1482">
        <f t="shared" si="10"/>
        <v>-8.5916593670845032E-3</v>
      </c>
      <c r="F82" s="1482">
        <f t="shared" si="10"/>
        <v>-8.5916593670845032E-3</v>
      </c>
      <c r="G82" s="1482">
        <f t="shared" si="10"/>
        <v>-8.5916668176651001E-3</v>
      </c>
      <c r="H82" s="1482">
        <f t="shared" si="10"/>
        <v>-3.7096980959177017E-3</v>
      </c>
      <c r="I82" s="1482">
        <f t="shared" si="10"/>
        <v>3.8409512490034103E-3</v>
      </c>
      <c r="J82" s="1482">
        <f t="shared" si="10"/>
        <v>-4.6309269964694977E-3</v>
      </c>
      <c r="K82" s="1482">
        <f t="shared" si="10"/>
        <v>-4.091992974281311E-3</v>
      </c>
    </row>
    <row r="83" spans="2:14" ht="21.75" customHeight="1">
      <c r="B83" s="1578"/>
      <c r="C83" s="1579"/>
      <c r="D83" s="1579"/>
      <c r="E83" s="1579"/>
      <c r="F83" s="1579"/>
      <c r="G83" s="1579"/>
      <c r="H83" s="1579"/>
      <c r="I83" s="1579"/>
      <c r="J83" s="1579"/>
      <c r="K83" s="1580"/>
    </row>
    <row r="84" spans="2:14" ht="21.75" customHeight="1">
      <c r="B84" s="1566" t="s">
        <v>1959</v>
      </c>
      <c r="C84" s="1566"/>
      <c r="D84" s="1566"/>
      <c r="E84" s="1566"/>
      <c r="F84" s="1566"/>
      <c r="G84" s="1566"/>
      <c r="H84" s="1566"/>
      <c r="I84" s="1566"/>
      <c r="J84" s="1566"/>
      <c r="K84" s="1566"/>
    </row>
    <row r="85" spans="2:14" ht="21.75" customHeight="1">
      <c r="B85" s="1470" t="s">
        <v>1960</v>
      </c>
      <c r="C85" s="1468">
        <v>2010</v>
      </c>
      <c r="D85" s="1487"/>
      <c r="E85" s="1487">
        <f>G85</f>
        <v>7433110.6600300875</v>
      </c>
      <c r="F85" s="1487">
        <f>G85</f>
        <v>7433110.6600300875</v>
      </c>
      <c r="G85" s="1488">
        <f>H85+I85+J85+K85</f>
        <v>7433110.6600300875</v>
      </c>
      <c r="H85" s="1488">
        <f ca="1">Видатки!AV10+Видатки!AV12+Видатки!AV14+Видатки!AV16+Видатки!AV18+Видатки!AV20+Видатки!E85</f>
        <v>1890192.925274977</v>
      </c>
      <c r="I85" s="1488">
        <f ca="1">Видатки!AW10+Видатки!AW12+Видатки!AW14+Видатки!AW16+Видатки!AW18+Видатки!AW20+Видатки!F85</f>
        <v>1839723.2815806773</v>
      </c>
      <c r="J85" s="1488">
        <f ca="1">Видатки!AX10+Видатки!AX12+Видатки!AX14+Видатки!AX16+Видатки!AX18+Видатки!AX20+Видатки!G85</f>
        <v>1816025.7242413987</v>
      </c>
      <c r="K85" s="1488">
        <f ca="1">Видатки!AY10+Видатки!AY12+Видатки!AY14+Видатки!AY16+Видатки!AY18+Видатки!AY20+Видатки!H85</f>
        <v>1887168.7289330342</v>
      </c>
    </row>
    <row r="86" spans="2:14" ht="21.75" customHeight="1">
      <c r="B86" s="1470" t="s">
        <v>1961</v>
      </c>
      <c r="C86" s="1468">
        <v>2020</v>
      </c>
      <c r="D86" s="1487"/>
      <c r="E86" s="1487">
        <f>G86</f>
        <v>5500</v>
      </c>
      <c r="F86" s="1487">
        <f>G86</f>
        <v>5500</v>
      </c>
      <c r="G86" s="1488">
        <f>H86+I86+J86+K86</f>
        <v>5500</v>
      </c>
      <c r="H86" s="1488">
        <f ca="1">Видатки!E86+Видатки!E87+Видатки!E88+Видатки!E89</f>
        <v>4750</v>
      </c>
      <c r="I86" s="1488">
        <f ca="1">Видатки!F86+Видатки!F87+Видатки!F88+Видатки!F89</f>
        <v>250</v>
      </c>
      <c r="J86" s="1488">
        <f ca="1">Видатки!G86+Видатки!G87+Видатки!G88+Видатки!G89</f>
        <v>250</v>
      </c>
      <c r="K86" s="1488">
        <f ca="1">Видатки!H86+Видатки!H87+Видатки!H88+Видатки!H89</f>
        <v>250</v>
      </c>
    </row>
    <row r="87" spans="2:14" ht="21.75" customHeight="1">
      <c r="B87" s="1470" t="s">
        <v>1962</v>
      </c>
      <c r="C87" s="1468">
        <v>2030</v>
      </c>
      <c r="D87" s="1503"/>
      <c r="E87" s="1487">
        <f>G87</f>
        <v>7991792.0833665058</v>
      </c>
      <c r="F87" s="1487">
        <f>G87</f>
        <v>7991792.0833665058</v>
      </c>
      <c r="G87" s="1488">
        <f>H87+I87+J87+K87</f>
        <v>7991792.0833665058</v>
      </c>
      <c r="H87" s="1488">
        <f ca="1">H53+Видатки!E90+H56</f>
        <v>2020731.9432518978</v>
      </c>
      <c r="I87" s="1488">
        <f ca="1">I53+Видатки!F90+I56</f>
        <v>1978867.9771274133</v>
      </c>
      <c r="J87" s="1488">
        <f ca="1">J53+Видатки!G90+J56</f>
        <v>1973137.3369841063</v>
      </c>
      <c r="K87" s="1488">
        <f ca="1">K53+Видатки!H90+K56</f>
        <v>2019054.8260030891</v>
      </c>
    </row>
    <row r="88" spans="2:14" ht="21.75" customHeight="1">
      <c r="B88" s="1470" t="s">
        <v>1963</v>
      </c>
      <c r="C88" s="1468">
        <v>2040</v>
      </c>
      <c r="D88" s="1487"/>
      <c r="E88" s="1487">
        <f>G88</f>
        <v>0</v>
      </c>
      <c r="F88" s="1487">
        <f>G88</f>
        <v>0</v>
      </c>
      <c r="G88" s="1488">
        <f>H88+I88+J88+K88</f>
        <v>0</v>
      </c>
      <c r="H88" s="1488">
        <f ca="1">Видатки!E91</f>
        <v>0</v>
      </c>
      <c r="I88" s="1488">
        <f ca="1">Видатки!F91</f>
        <v>0</v>
      </c>
      <c r="J88" s="1488">
        <f ca="1">Видатки!G91</f>
        <v>0</v>
      </c>
      <c r="K88" s="1488">
        <f ca="1">Видатки!H91</f>
        <v>0</v>
      </c>
    </row>
    <row r="89" spans="2:14" ht="26.25" customHeight="1">
      <c r="B89" s="1560"/>
      <c r="C89" s="1560"/>
      <c r="D89" s="1560"/>
      <c r="E89" s="1560"/>
      <c r="F89" s="1560"/>
      <c r="G89" s="1560"/>
      <c r="H89" s="1560"/>
      <c r="I89" s="1560"/>
      <c r="J89" s="1560"/>
      <c r="K89" s="1560"/>
    </row>
    <row r="90" spans="2:14" ht="21.75" customHeight="1">
      <c r="B90" s="1566" t="s">
        <v>2013</v>
      </c>
      <c r="C90" s="1566"/>
      <c r="D90" s="1566"/>
      <c r="E90" s="1566"/>
      <c r="F90" s="1566"/>
      <c r="G90" s="1566"/>
      <c r="H90" s="1566"/>
      <c r="I90" s="1566"/>
      <c r="J90" s="1566"/>
      <c r="K90" s="1566"/>
    </row>
    <row r="91" spans="2:14" ht="21.75" customHeight="1">
      <c r="B91" s="5" t="s">
        <v>2014</v>
      </c>
      <c r="C91" s="1504">
        <v>3020</v>
      </c>
      <c r="D91" s="1488">
        <f>SUM(D92:D97)</f>
        <v>0</v>
      </c>
      <c r="E91" s="1488">
        <f>SUM(E92:E97)</f>
        <v>2497000</v>
      </c>
      <c r="F91" s="1488">
        <f>SUM(F92:F97)</f>
        <v>2497000</v>
      </c>
      <c r="G91" s="1488">
        <f t="shared" ref="G91:G97" si="11">H91+I91+J91+K91</f>
        <v>2497000</v>
      </c>
      <c r="H91" s="1488">
        <f>SUM(H92:H97)</f>
        <v>537000</v>
      </c>
      <c r="I91" s="1488">
        <f>SUM(I92:I97)</f>
        <v>1080000</v>
      </c>
      <c r="J91" s="1488">
        <f>SUM(J92:J97)</f>
        <v>840000</v>
      </c>
      <c r="K91" s="1488">
        <f>SUM(K92:K97)</f>
        <v>40000</v>
      </c>
    </row>
    <row r="92" spans="2:14" ht="21.75" customHeight="1">
      <c r="B92" s="1505" t="s">
        <v>1964</v>
      </c>
      <c r="C92" s="1473">
        <v>3021</v>
      </c>
      <c r="D92" s="1487">
        <v>0</v>
      </c>
      <c r="E92" s="1487">
        <f>G92</f>
        <v>0</v>
      </c>
      <c r="F92" s="1487">
        <f t="shared" ref="F92:F99" si="12">G92</f>
        <v>0</v>
      </c>
      <c r="G92" s="1488">
        <f t="shared" si="11"/>
        <v>0</v>
      </c>
      <c r="H92" s="1488">
        <f ca="1">Видатки!E92</f>
        <v>0</v>
      </c>
      <c r="I92" s="1488">
        <f ca="1">Видатки!F92</f>
        <v>0</v>
      </c>
      <c r="J92" s="1488">
        <f ca="1">Видатки!G92</f>
        <v>0</v>
      </c>
      <c r="K92" s="1488">
        <f ca="1">Видатки!H92</f>
        <v>0</v>
      </c>
    </row>
    <row r="93" spans="2:14" ht="21.75" customHeight="1">
      <c r="B93" s="1505" t="s">
        <v>1965</v>
      </c>
      <c r="C93" s="1504">
        <v>3022</v>
      </c>
      <c r="D93" s="1487"/>
      <c r="E93" s="1487">
        <f t="shared" ref="E93:E99" si="13">G93</f>
        <v>2297000</v>
      </c>
      <c r="F93" s="1487">
        <f t="shared" si="12"/>
        <v>2297000</v>
      </c>
      <c r="G93" s="1488">
        <f>H93+I93+J93+K93</f>
        <v>2297000</v>
      </c>
      <c r="H93" s="1488">
        <f ca="1">'0'!C142+'0'!C150+Видатки!E93</f>
        <v>497000</v>
      </c>
      <c r="I93" s="1488">
        <f ca="1">'0'!D142+'0'!D150+Видатки!F93</f>
        <v>1000000</v>
      </c>
      <c r="J93" s="1488">
        <f ca="1">'0'!E142+'0'!E150+Видатки!G93</f>
        <v>800000</v>
      </c>
      <c r="K93" s="1488">
        <f ca="1">'0'!F142+'0'!F150+Видатки!H93</f>
        <v>0</v>
      </c>
    </row>
    <row r="94" spans="2:14" ht="21.75" customHeight="1">
      <c r="B94" s="1505" t="s">
        <v>1966</v>
      </c>
      <c r="C94" s="1473">
        <v>3023</v>
      </c>
      <c r="D94" s="1487"/>
      <c r="E94" s="1487">
        <f t="shared" si="13"/>
        <v>200000</v>
      </c>
      <c r="F94" s="1487">
        <f t="shared" si="12"/>
        <v>200000</v>
      </c>
      <c r="G94" s="1488">
        <f t="shared" si="11"/>
        <v>200000</v>
      </c>
      <c r="H94" s="1488">
        <f ca="1">Видатки!E94</f>
        <v>40000</v>
      </c>
      <c r="I94" s="1488">
        <f ca="1">Видатки!F94</f>
        <v>80000</v>
      </c>
      <c r="J94" s="1488">
        <f ca="1">Видатки!G94</f>
        <v>40000</v>
      </c>
      <c r="K94" s="1488">
        <f ca="1">Видатки!H94</f>
        <v>40000</v>
      </c>
    </row>
    <row r="95" spans="2:14" ht="21.75" customHeight="1">
      <c r="B95" s="1505" t="s">
        <v>1967</v>
      </c>
      <c r="C95" s="1504">
        <v>3024</v>
      </c>
      <c r="D95" s="1487"/>
      <c r="E95" s="1487">
        <f t="shared" si="13"/>
        <v>0</v>
      </c>
      <c r="F95" s="1487">
        <f t="shared" si="12"/>
        <v>0</v>
      </c>
      <c r="G95" s="1488">
        <f t="shared" si="11"/>
        <v>0</v>
      </c>
      <c r="H95" s="1488">
        <f ca="1">Видатки!E95</f>
        <v>0</v>
      </c>
      <c r="I95" s="1488">
        <f ca="1">Видатки!F95</f>
        <v>0</v>
      </c>
      <c r="J95" s="1488">
        <f ca="1">Видатки!G95</f>
        <v>0</v>
      </c>
      <c r="K95" s="1488">
        <f ca="1">Видатки!H95</f>
        <v>0</v>
      </c>
    </row>
    <row r="96" spans="2:14" ht="21.75" customHeight="1">
      <c r="B96" s="1505" t="s">
        <v>1968</v>
      </c>
      <c r="C96" s="1473">
        <v>3025</v>
      </c>
      <c r="D96" s="1487">
        <v>0</v>
      </c>
      <c r="E96" s="1487">
        <f t="shared" si="13"/>
        <v>0</v>
      </c>
      <c r="F96" s="1487">
        <f t="shared" si="12"/>
        <v>0</v>
      </c>
      <c r="G96" s="1488">
        <f t="shared" si="11"/>
        <v>0</v>
      </c>
      <c r="H96" s="1488">
        <f ca="1">Видатки!E96</f>
        <v>0</v>
      </c>
      <c r="I96" s="1488">
        <f ca="1">Видатки!F96</f>
        <v>0</v>
      </c>
      <c r="J96" s="1488">
        <f ca="1">Видатки!G96</f>
        <v>0</v>
      </c>
      <c r="K96" s="1488">
        <f ca="1">Видатки!H96</f>
        <v>0</v>
      </c>
    </row>
    <row r="97" spans="2:16" ht="21.75" customHeight="1">
      <c r="B97" s="1505" t="s">
        <v>1969</v>
      </c>
      <c r="C97" s="1504">
        <v>3026</v>
      </c>
      <c r="D97" s="1487">
        <v>0</v>
      </c>
      <c r="E97" s="1487">
        <f t="shared" si="13"/>
        <v>0</v>
      </c>
      <c r="F97" s="1487">
        <f t="shared" si="12"/>
        <v>0</v>
      </c>
      <c r="G97" s="1488">
        <f t="shared" si="11"/>
        <v>0</v>
      </c>
      <c r="H97" s="1488">
        <f ca="1">Видатки!E97</f>
        <v>0</v>
      </c>
      <c r="I97" s="1488">
        <f ca="1">Видатки!F97</f>
        <v>0</v>
      </c>
      <c r="J97" s="1488">
        <f ca="1">Видатки!G97</f>
        <v>0</v>
      </c>
      <c r="K97" s="1488">
        <f ca="1">Видатки!H97</f>
        <v>0</v>
      </c>
    </row>
    <row r="98" spans="2:16" ht="21.75" customHeight="1">
      <c r="B98" s="1470" t="s">
        <v>2065</v>
      </c>
      <c r="C98" s="1468">
        <v>3030</v>
      </c>
      <c r="D98" s="1487"/>
      <c r="E98" s="1487">
        <f t="shared" si="13"/>
        <v>0</v>
      </c>
      <c r="F98" s="1487">
        <f t="shared" si="12"/>
        <v>0</v>
      </c>
      <c r="G98" s="1488">
        <f>H98+I98+J98+K98</f>
        <v>0</v>
      </c>
      <c r="H98" s="1488">
        <f ca="1">Видатки!E98</f>
        <v>0</v>
      </c>
      <c r="I98" s="1488">
        <f ca="1">Видатки!F98</f>
        <v>0</v>
      </c>
      <c r="J98" s="1488">
        <f ca="1">Видатки!G98</f>
        <v>0</v>
      </c>
      <c r="K98" s="1488">
        <f ca="1">Видатки!H98</f>
        <v>0</v>
      </c>
    </row>
    <row r="99" spans="2:16" ht="21.75" customHeight="1">
      <c r="B99" s="1470" t="s">
        <v>1821</v>
      </c>
      <c r="C99" s="1468">
        <v>3040</v>
      </c>
      <c r="D99" s="1487"/>
      <c r="E99" s="1487">
        <f t="shared" si="13"/>
        <v>1750750.6800000002</v>
      </c>
      <c r="F99" s="1487">
        <f t="shared" si="12"/>
        <v>1750750.6800000002</v>
      </c>
      <c r="G99" s="1488">
        <f>H99+I99+J99+K99</f>
        <v>1750750.6800000002</v>
      </c>
      <c r="H99" s="1488">
        <f ca="1">Видатки!E99</f>
        <v>437687.67000000004</v>
      </c>
      <c r="I99" s="1488">
        <f ca="1">Видатки!F99</f>
        <v>437687.67000000004</v>
      </c>
      <c r="J99" s="1488">
        <f ca="1">Видатки!G99</f>
        <v>437687.67000000004</v>
      </c>
      <c r="K99" s="1488">
        <f ca="1">Видатки!H99</f>
        <v>437687.67000000004</v>
      </c>
    </row>
    <row r="100" spans="2:16" ht="21.75" customHeight="1">
      <c r="B100" s="1560"/>
      <c r="C100" s="1560"/>
      <c r="D100" s="1560"/>
      <c r="E100" s="1560"/>
      <c r="F100" s="1560"/>
      <c r="G100" s="1560"/>
      <c r="H100" s="1560"/>
      <c r="I100" s="1560"/>
      <c r="J100" s="1560"/>
      <c r="K100" s="1560"/>
    </row>
    <row r="101" spans="2:16" ht="21.75" customHeight="1">
      <c r="B101" s="1566" t="s">
        <v>2015</v>
      </c>
      <c r="C101" s="1566"/>
      <c r="D101" s="1566"/>
      <c r="E101" s="1566"/>
      <c r="F101" s="1566"/>
      <c r="G101" s="1566"/>
      <c r="H101" s="1566"/>
      <c r="I101" s="1566"/>
      <c r="J101" s="1566"/>
      <c r="K101" s="1566"/>
    </row>
    <row r="102" spans="2:16" ht="21.75" customHeight="1">
      <c r="B102" s="1470" t="s">
        <v>1970</v>
      </c>
      <c r="C102" s="1468">
        <v>4010</v>
      </c>
      <c r="D102" s="1488">
        <f t="shared" ref="D102:K102" si="14">D103+D104+D105</f>
        <v>0</v>
      </c>
      <c r="E102" s="1488">
        <f t="shared" si="14"/>
        <v>1200</v>
      </c>
      <c r="F102" s="1488">
        <f t="shared" si="14"/>
        <v>1200</v>
      </c>
      <c r="G102" s="1488">
        <f t="shared" si="14"/>
        <v>1200</v>
      </c>
      <c r="H102" s="1488">
        <f t="shared" si="14"/>
        <v>300</v>
      </c>
      <c r="I102" s="1488">
        <f t="shared" si="14"/>
        <v>300</v>
      </c>
      <c r="J102" s="1488">
        <f t="shared" si="14"/>
        <v>300</v>
      </c>
      <c r="K102" s="1488">
        <f t="shared" si="14"/>
        <v>300</v>
      </c>
    </row>
    <row r="103" spans="2:16" ht="21.75" customHeight="1">
      <c r="B103" s="1505" t="s">
        <v>1971</v>
      </c>
      <c r="C103" s="1468">
        <v>4011</v>
      </c>
      <c r="D103" s="1487">
        <v>0</v>
      </c>
      <c r="E103" s="1487">
        <v>0</v>
      </c>
      <c r="F103" s="1487">
        <f>G103</f>
        <v>0</v>
      </c>
      <c r="G103" s="1488">
        <f t="shared" ref="G103:G111" si="15">H103+I103+J103+K103</f>
        <v>0</v>
      </c>
      <c r="H103" s="1493"/>
      <c r="I103" s="1493"/>
      <c r="J103" s="1493"/>
      <c r="K103" s="1493"/>
      <c r="P103" s="1151"/>
    </row>
    <row r="104" spans="2:16" ht="21.75" customHeight="1">
      <c r="B104" s="1505" t="s">
        <v>1972</v>
      </c>
      <c r="C104" s="1468">
        <v>4012</v>
      </c>
      <c r="D104" s="1487">
        <v>0</v>
      </c>
      <c r="E104" s="1487">
        <v>0</v>
      </c>
      <c r="F104" s="1487">
        <f>G104</f>
        <v>0</v>
      </c>
      <c r="G104" s="1488">
        <f t="shared" si="15"/>
        <v>0</v>
      </c>
      <c r="H104" s="1493"/>
      <c r="I104" s="1493"/>
      <c r="J104" s="1493"/>
      <c r="K104" s="1493"/>
      <c r="P104" s="1151"/>
    </row>
    <row r="105" spans="2:16" ht="21.75" customHeight="1">
      <c r="B105" s="1505" t="s">
        <v>1973</v>
      </c>
      <c r="C105" s="1468">
        <v>4013</v>
      </c>
      <c r="D105" s="1488">
        <f>D49</f>
        <v>0</v>
      </c>
      <c r="E105" s="1488">
        <f>G105</f>
        <v>1200</v>
      </c>
      <c r="F105" s="1488">
        <f>F49</f>
        <v>1200</v>
      </c>
      <c r="G105" s="1488">
        <f t="shared" si="15"/>
        <v>1200</v>
      </c>
      <c r="H105" s="1488">
        <f>H49</f>
        <v>300</v>
      </c>
      <c r="I105" s="1488">
        <f>I49</f>
        <v>300</v>
      </c>
      <c r="J105" s="1488">
        <f>J49</f>
        <v>300</v>
      </c>
      <c r="K105" s="1488">
        <f>K49</f>
        <v>300</v>
      </c>
      <c r="P105" s="1151"/>
    </row>
    <row r="106" spans="2:16" ht="21.75" customHeight="1">
      <c r="B106" s="1470" t="s">
        <v>1974</v>
      </c>
      <c r="C106" s="1468">
        <v>4020</v>
      </c>
      <c r="D106" s="1487">
        <v>0</v>
      </c>
      <c r="E106" s="1487">
        <v>0</v>
      </c>
      <c r="F106" s="1487">
        <f>G106</f>
        <v>0</v>
      </c>
      <c r="G106" s="1488">
        <f t="shared" si="15"/>
        <v>0</v>
      </c>
      <c r="H106" s="1493"/>
      <c r="I106" s="1493"/>
      <c r="J106" s="1493"/>
      <c r="K106" s="1493"/>
      <c r="P106" s="1151"/>
    </row>
    <row r="107" spans="2:16" ht="21.75" customHeight="1">
      <c r="B107" s="1470" t="s">
        <v>1975</v>
      </c>
      <c r="C107" s="1468">
        <v>4030</v>
      </c>
      <c r="D107" s="1488">
        <f>D108+D109+D110</f>
        <v>0</v>
      </c>
      <c r="E107" s="1488">
        <f>E108+E109+E110</f>
        <v>0</v>
      </c>
      <c r="F107" s="1488">
        <f>F108+F109+F110</f>
        <v>0</v>
      </c>
      <c r="G107" s="1488">
        <f t="shared" si="15"/>
        <v>0</v>
      </c>
      <c r="H107" s="1497"/>
      <c r="I107" s="1497"/>
      <c r="J107" s="1497"/>
      <c r="K107" s="1497"/>
    </row>
    <row r="108" spans="2:16" ht="21.75" customHeight="1">
      <c r="B108" s="1505" t="s">
        <v>1971</v>
      </c>
      <c r="C108" s="1468">
        <v>4031</v>
      </c>
      <c r="D108" s="1487">
        <v>0</v>
      </c>
      <c r="E108" s="1487">
        <v>0</v>
      </c>
      <c r="F108" s="1487">
        <f>G108</f>
        <v>0</v>
      </c>
      <c r="G108" s="1488">
        <f t="shared" si="15"/>
        <v>0</v>
      </c>
      <c r="H108" s="1493"/>
      <c r="I108" s="1493"/>
      <c r="J108" s="1493"/>
      <c r="K108" s="1493"/>
    </row>
    <row r="109" spans="2:16" ht="21.75" customHeight="1">
      <c r="B109" s="1505" t="s">
        <v>1972</v>
      </c>
      <c r="C109" s="1468">
        <v>4032</v>
      </c>
      <c r="D109" s="1487">
        <v>0</v>
      </c>
      <c r="E109" s="1487">
        <v>0</v>
      </c>
      <c r="F109" s="1487">
        <f>G109</f>
        <v>0</v>
      </c>
      <c r="G109" s="1488">
        <f t="shared" si="15"/>
        <v>0</v>
      </c>
      <c r="H109" s="1493"/>
      <c r="I109" s="1493"/>
      <c r="J109" s="1493"/>
      <c r="K109" s="1493"/>
    </row>
    <row r="110" spans="2:16" ht="21.75" customHeight="1">
      <c r="B110" s="1505" t="s">
        <v>1973</v>
      </c>
      <c r="C110" s="1468">
        <v>4033</v>
      </c>
      <c r="D110" s="1487">
        <v>0</v>
      </c>
      <c r="E110" s="1487">
        <v>0</v>
      </c>
      <c r="F110" s="1487">
        <f>G110</f>
        <v>0</v>
      </c>
      <c r="G110" s="1488">
        <f t="shared" si="15"/>
        <v>0</v>
      </c>
      <c r="H110" s="1493"/>
      <c r="I110" s="1493"/>
      <c r="J110" s="1493"/>
      <c r="K110" s="1493"/>
    </row>
    <row r="111" spans="2:16" ht="21.75" customHeight="1">
      <c r="B111" s="1470" t="s">
        <v>1976</v>
      </c>
      <c r="C111" s="1468">
        <v>4040</v>
      </c>
      <c r="D111" s="1487">
        <v>0</v>
      </c>
      <c r="E111" s="1487">
        <v>0</v>
      </c>
      <c r="F111" s="1487">
        <f>G111</f>
        <v>0</v>
      </c>
      <c r="G111" s="1488">
        <f t="shared" si="15"/>
        <v>0</v>
      </c>
      <c r="H111" s="1493"/>
      <c r="I111" s="1493"/>
      <c r="J111" s="1493"/>
      <c r="K111" s="1493"/>
    </row>
    <row r="112" spans="2:16" s="4" customFormat="1" ht="21.75" customHeight="1">
      <c r="B112" s="1567"/>
      <c r="C112" s="1567"/>
      <c r="D112" s="1567"/>
      <c r="E112" s="1567"/>
      <c r="F112" s="1567"/>
      <c r="G112" s="1567"/>
      <c r="H112" s="1567"/>
      <c r="I112" s="1567"/>
      <c r="J112" s="1567"/>
      <c r="K112" s="1567"/>
    </row>
    <row r="113" spans="2:11" s="4" customFormat="1" ht="21.75" customHeight="1">
      <c r="B113" s="1566" t="s">
        <v>1977</v>
      </c>
      <c r="C113" s="1566"/>
      <c r="D113" s="1566"/>
      <c r="E113" s="1566"/>
      <c r="F113" s="1566"/>
      <c r="G113" s="1566"/>
      <c r="H113" s="1566"/>
      <c r="I113" s="1566"/>
      <c r="J113" s="1566"/>
      <c r="K113" s="1566"/>
    </row>
    <row r="114" spans="2:11" s="4" customFormat="1" ht="21.75" customHeight="1">
      <c r="B114" s="1470" t="s">
        <v>1978</v>
      </c>
      <c r="C114" s="1468">
        <v>5010</v>
      </c>
      <c r="D114" s="1473" t="s">
        <v>1999</v>
      </c>
      <c r="E114" s="1473" t="s">
        <v>1999</v>
      </c>
      <c r="F114" s="1473" t="s">
        <v>1999</v>
      </c>
      <c r="G114" s="1473" t="s">
        <v>1999</v>
      </c>
      <c r="H114" s="1473" t="s">
        <v>1999</v>
      </c>
      <c r="I114" s="1473" t="s">
        <v>1999</v>
      </c>
      <c r="J114" s="1473" t="s">
        <v>1999</v>
      </c>
      <c r="K114" s="1473" t="s">
        <v>1999</v>
      </c>
    </row>
    <row r="115" spans="2:11" s="4" customFormat="1" ht="21.75" customHeight="1">
      <c r="B115" s="1470" t="s">
        <v>1979</v>
      </c>
      <c r="C115" s="1468">
        <v>5020</v>
      </c>
      <c r="D115" s="1473" t="s">
        <v>1999</v>
      </c>
      <c r="E115" s="1473" t="s">
        <v>1999</v>
      </c>
      <c r="F115" s="1473" t="s">
        <v>1999</v>
      </c>
      <c r="G115" s="1473" t="s">
        <v>1999</v>
      </c>
      <c r="H115" s="1473" t="s">
        <v>1999</v>
      </c>
      <c r="I115" s="1473" t="s">
        <v>1999</v>
      </c>
      <c r="J115" s="1473" t="s">
        <v>1999</v>
      </c>
      <c r="K115" s="1473" t="s">
        <v>1999</v>
      </c>
    </row>
    <row r="116" spans="2:11" s="4" customFormat="1" ht="21.75" customHeight="1">
      <c r="B116" s="1470" t="s">
        <v>2077</v>
      </c>
      <c r="C116" s="1468">
        <v>5030</v>
      </c>
      <c r="D116" s="1473" t="s">
        <v>1999</v>
      </c>
      <c r="E116" s="1473" t="s">
        <v>1999</v>
      </c>
      <c r="F116" s="1473" t="s">
        <v>1999</v>
      </c>
      <c r="G116" s="1473" t="s">
        <v>1999</v>
      </c>
      <c r="H116" s="1473" t="s">
        <v>1999</v>
      </c>
      <c r="I116" s="1473" t="s">
        <v>1999</v>
      </c>
      <c r="J116" s="1473" t="s">
        <v>1999</v>
      </c>
      <c r="K116" s="1473" t="s">
        <v>1999</v>
      </c>
    </row>
    <row r="117" spans="2:11" s="4" customFormat="1" ht="21.75" customHeight="1">
      <c r="B117" s="1470" t="s">
        <v>1980</v>
      </c>
      <c r="C117" s="1468">
        <v>5040</v>
      </c>
      <c r="D117" s="1473" t="s">
        <v>1999</v>
      </c>
      <c r="E117" s="1473" t="s">
        <v>1999</v>
      </c>
      <c r="F117" s="1473" t="s">
        <v>1999</v>
      </c>
      <c r="G117" s="1473" t="s">
        <v>1999</v>
      </c>
      <c r="H117" s="1473" t="s">
        <v>1999</v>
      </c>
      <c r="I117" s="1473" t="s">
        <v>1999</v>
      </c>
      <c r="J117" s="1473" t="s">
        <v>1999</v>
      </c>
      <c r="K117" s="1473" t="s">
        <v>1999</v>
      </c>
    </row>
    <row r="118" spans="2:11" s="4" customFormat="1" ht="21.75" customHeight="1">
      <c r="B118" s="1561"/>
      <c r="C118" s="1561"/>
      <c r="D118" s="1561"/>
      <c r="E118" s="1561"/>
      <c r="F118" s="1561"/>
      <c r="G118" s="1561"/>
      <c r="H118" s="1561"/>
      <c r="I118" s="1561"/>
      <c r="J118" s="1561"/>
      <c r="K118" s="1561"/>
    </row>
    <row r="119" spans="2:11" s="4" customFormat="1" ht="21.75" customHeight="1">
      <c r="B119" s="1566" t="s">
        <v>1981</v>
      </c>
      <c r="C119" s="1566"/>
      <c r="D119" s="1566"/>
      <c r="E119" s="1566"/>
      <c r="F119" s="1566"/>
      <c r="G119" s="1566"/>
      <c r="H119" s="1566"/>
      <c r="I119" s="1566"/>
      <c r="J119" s="1566"/>
      <c r="K119" s="1566"/>
    </row>
    <row r="120" spans="2:11" s="4" customFormat="1" ht="21.75" customHeight="1">
      <c r="B120" s="1470" t="s">
        <v>2084</v>
      </c>
      <c r="C120" s="1473">
        <v>6010</v>
      </c>
      <c r="D120" s="1473" t="s">
        <v>1999</v>
      </c>
      <c r="E120" s="1473" t="s">
        <v>1999</v>
      </c>
      <c r="F120" s="1473" t="s">
        <v>1999</v>
      </c>
      <c r="G120" s="1473" t="s">
        <v>1999</v>
      </c>
      <c r="H120" s="1473" t="s">
        <v>1999</v>
      </c>
      <c r="I120" s="1473" t="s">
        <v>1999</v>
      </c>
      <c r="J120" s="1473" t="s">
        <v>1999</v>
      </c>
      <c r="K120" s="1473" t="s">
        <v>1999</v>
      </c>
    </row>
    <row r="121" spans="2:11" s="4" customFormat="1" ht="21.75" customHeight="1">
      <c r="B121" s="1470" t="s">
        <v>2085</v>
      </c>
      <c r="C121" s="1473">
        <v>6020</v>
      </c>
      <c r="D121" s="1473" t="s">
        <v>1999</v>
      </c>
      <c r="E121" s="1473" t="s">
        <v>1999</v>
      </c>
      <c r="F121" s="1473" t="s">
        <v>1999</v>
      </c>
      <c r="G121" s="1473" t="s">
        <v>1999</v>
      </c>
      <c r="H121" s="1473" t="s">
        <v>1999</v>
      </c>
      <c r="I121" s="1473" t="s">
        <v>1999</v>
      </c>
      <c r="J121" s="1473" t="s">
        <v>1999</v>
      </c>
      <c r="K121" s="1473" t="s">
        <v>1999</v>
      </c>
    </row>
    <row r="122" spans="2:11" s="4" customFormat="1" ht="21.75" customHeight="1">
      <c r="B122" s="1470" t="s">
        <v>1982</v>
      </c>
      <c r="C122" s="1473">
        <v>6030</v>
      </c>
      <c r="D122" s="1473" t="s">
        <v>1999</v>
      </c>
      <c r="E122" s="1473" t="s">
        <v>1999</v>
      </c>
      <c r="F122" s="1473" t="s">
        <v>1999</v>
      </c>
      <c r="G122" s="1473" t="s">
        <v>1999</v>
      </c>
      <c r="H122" s="1473" t="s">
        <v>1999</v>
      </c>
      <c r="I122" s="1473" t="s">
        <v>1999</v>
      </c>
      <c r="J122" s="1473" t="s">
        <v>1999</v>
      </c>
      <c r="K122" s="1473" t="s">
        <v>1999</v>
      </c>
    </row>
    <row r="123" spans="2:11" s="4" customFormat="1" ht="21.75" customHeight="1">
      <c r="B123" s="1470" t="s">
        <v>1983</v>
      </c>
      <c r="C123" s="1473">
        <v>6040</v>
      </c>
      <c r="D123" s="1473" t="s">
        <v>1999</v>
      </c>
      <c r="E123" s="1473" t="s">
        <v>1999</v>
      </c>
      <c r="F123" s="1473" t="s">
        <v>1999</v>
      </c>
      <c r="G123" s="1473" t="s">
        <v>1999</v>
      </c>
      <c r="H123" s="1473" t="s">
        <v>1999</v>
      </c>
      <c r="I123" s="1473" t="s">
        <v>1999</v>
      </c>
      <c r="J123" s="1473" t="s">
        <v>1999</v>
      </c>
      <c r="K123" s="1473" t="s">
        <v>1999</v>
      </c>
    </row>
    <row r="124" spans="2:11" s="4" customFormat="1" ht="21.75" customHeight="1">
      <c r="B124" s="1470" t="s">
        <v>1984</v>
      </c>
      <c r="C124" s="1473">
        <v>6050</v>
      </c>
      <c r="D124" s="1473" t="s">
        <v>1999</v>
      </c>
      <c r="E124" s="1473" t="s">
        <v>1999</v>
      </c>
      <c r="F124" s="1473" t="s">
        <v>1999</v>
      </c>
      <c r="G124" s="1473" t="s">
        <v>1999</v>
      </c>
      <c r="H124" s="1473" t="s">
        <v>1999</v>
      </c>
      <c r="I124" s="1473" t="s">
        <v>1999</v>
      </c>
      <c r="J124" s="1473" t="s">
        <v>1999</v>
      </c>
      <c r="K124" s="1473" t="s">
        <v>1999</v>
      </c>
    </row>
    <row r="125" spans="2:11" s="4" customFormat="1" ht="21.75" customHeight="1">
      <c r="B125" s="1560"/>
      <c r="C125" s="1560"/>
      <c r="D125" s="1560"/>
      <c r="E125" s="1560"/>
      <c r="F125" s="1560"/>
      <c r="G125" s="1560"/>
      <c r="H125" s="1560"/>
      <c r="I125" s="1560"/>
      <c r="J125" s="1560"/>
      <c r="K125" s="1560"/>
    </row>
    <row r="126" spans="2:11" ht="21.75" customHeight="1">
      <c r="B126" s="1566" t="s">
        <v>1985</v>
      </c>
      <c r="C126" s="1566"/>
      <c r="D126" s="1566"/>
      <c r="E126" s="1566"/>
      <c r="F126" s="1566"/>
      <c r="G126" s="1566"/>
      <c r="H126" s="1566"/>
      <c r="I126" s="1566"/>
      <c r="J126" s="1566"/>
      <c r="K126" s="1566"/>
    </row>
    <row r="127" spans="2:11" ht="50.1" customHeight="1">
      <c r="B127" s="1470" t="s">
        <v>1986</v>
      </c>
      <c r="C127" s="1506">
        <v>7010</v>
      </c>
      <c r="D127" s="1488">
        <f>SUM(D128:D133)</f>
        <v>0</v>
      </c>
      <c r="E127" s="1507">
        <f>SUM(E128:E133)</f>
        <v>241.25</v>
      </c>
      <c r="F127" s="1486">
        <f>G127</f>
        <v>241.25</v>
      </c>
      <c r="G127" s="1507">
        <f>SUM(G128:G133)</f>
        <v>241.25</v>
      </c>
      <c r="H127" s="1507">
        <f>SUM(H128:H133)</f>
        <v>241.25</v>
      </c>
      <c r="I127" s="1507">
        <f>SUM(I128:I133)</f>
        <v>241.25</v>
      </c>
      <c r="J127" s="1507">
        <f>SUM(J128:J133)</f>
        <v>241.25</v>
      </c>
      <c r="K127" s="1507">
        <f>SUM(K128:K133)</f>
        <v>241.25</v>
      </c>
    </row>
    <row r="128" spans="2:11" ht="21.75" customHeight="1">
      <c r="B128" s="1505" t="s">
        <v>2035</v>
      </c>
      <c r="C128" s="1506">
        <v>7011</v>
      </c>
      <c r="D128" s="1487"/>
      <c r="E128" s="1486">
        <f t="shared" ref="E128:E133" si="16">G128</f>
        <v>4</v>
      </c>
      <c r="F128" s="1486">
        <f t="shared" ref="F128:F140" si="17">G128</f>
        <v>4</v>
      </c>
      <c r="G128" s="1507">
        <f ca="1">Видатки!L10</f>
        <v>4</v>
      </c>
      <c r="H128" s="1507">
        <f ca="1">Видатки!I10</f>
        <v>4</v>
      </c>
      <c r="I128" s="1507">
        <f ca="1">Видатки!J10</f>
        <v>4</v>
      </c>
      <c r="J128" s="1507">
        <f ca="1">Видатки!K10</f>
        <v>4</v>
      </c>
      <c r="K128" s="1507">
        <f ca="1">Видатки!L10</f>
        <v>4</v>
      </c>
    </row>
    <row r="129" spans="2:11" ht="21.75" customHeight="1">
      <c r="B129" s="1505" t="s">
        <v>1904</v>
      </c>
      <c r="C129" s="1506">
        <v>7012</v>
      </c>
      <c r="D129" s="1487"/>
      <c r="E129" s="1486">
        <f t="shared" si="16"/>
        <v>40.75</v>
      </c>
      <c r="F129" s="1486">
        <f t="shared" si="17"/>
        <v>40.75</v>
      </c>
      <c r="G129" s="1507">
        <f ca="1">Видатки!L14</f>
        <v>40.75</v>
      </c>
      <c r="H129" s="1507">
        <f ca="1">Видатки!I14</f>
        <v>40.75</v>
      </c>
      <c r="I129" s="1507">
        <f ca="1">Видатки!J14</f>
        <v>40.75</v>
      </c>
      <c r="J129" s="1507">
        <f ca="1">Видатки!K14</f>
        <v>40.75</v>
      </c>
      <c r="K129" s="1507">
        <f ca="1">Видатки!L14</f>
        <v>40.75</v>
      </c>
    </row>
    <row r="130" spans="2:11" ht="21.75" customHeight="1">
      <c r="B130" s="1505" t="s">
        <v>1988</v>
      </c>
      <c r="C130" s="1506">
        <v>7013</v>
      </c>
      <c r="D130" s="1487"/>
      <c r="E130" s="1486">
        <f t="shared" si="16"/>
        <v>98</v>
      </c>
      <c r="F130" s="1486">
        <f t="shared" si="17"/>
        <v>98</v>
      </c>
      <c r="G130" s="1507">
        <f ca="1">Видатки!L16</f>
        <v>98</v>
      </c>
      <c r="H130" s="1507">
        <f ca="1">Видатки!I16</f>
        <v>98</v>
      </c>
      <c r="I130" s="1507">
        <f ca="1">Видатки!J16</f>
        <v>98</v>
      </c>
      <c r="J130" s="1507">
        <f ca="1">Видатки!K16</f>
        <v>98</v>
      </c>
      <c r="K130" s="1507">
        <f ca="1">Видатки!L16</f>
        <v>98</v>
      </c>
    </row>
    <row r="131" spans="2:11" ht="21.75" customHeight="1">
      <c r="B131" s="1505" t="s">
        <v>1989</v>
      </c>
      <c r="C131" s="1506">
        <v>7014</v>
      </c>
      <c r="D131" s="1487"/>
      <c r="E131" s="1486">
        <f t="shared" si="16"/>
        <v>43</v>
      </c>
      <c r="F131" s="1486">
        <f t="shared" si="17"/>
        <v>43</v>
      </c>
      <c r="G131" s="1507">
        <f ca="1">Видатки!L18</f>
        <v>43</v>
      </c>
      <c r="H131" s="1507">
        <f ca="1">Видатки!I18</f>
        <v>43</v>
      </c>
      <c r="I131" s="1507">
        <f ca="1">Видатки!J18</f>
        <v>43</v>
      </c>
      <c r="J131" s="1507">
        <f ca="1">Видатки!K18</f>
        <v>43</v>
      </c>
      <c r="K131" s="1507">
        <f ca="1">Видатки!L18</f>
        <v>43</v>
      </c>
    </row>
    <row r="132" spans="2:11" ht="21.75" customHeight="1">
      <c r="B132" s="1505" t="s">
        <v>1987</v>
      </c>
      <c r="C132" s="1506">
        <v>7015</v>
      </c>
      <c r="D132" s="1487"/>
      <c r="E132" s="1486">
        <f t="shared" si="16"/>
        <v>13</v>
      </c>
      <c r="F132" s="1486">
        <f t="shared" si="17"/>
        <v>13</v>
      </c>
      <c r="G132" s="1507">
        <f ca="1">Видатки!I12</f>
        <v>13</v>
      </c>
      <c r="H132" s="1507">
        <f ca="1">Видатки!I12</f>
        <v>13</v>
      </c>
      <c r="I132" s="1507">
        <f ca="1">Видатки!J12</f>
        <v>13</v>
      </c>
      <c r="J132" s="1507">
        <f ca="1">Видатки!K12</f>
        <v>13</v>
      </c>
      <c r="K132" s="1507">
        <f ca="1">Видатки!L12</f>
        <v>13</v>
      </c>
    </row>
    <row r="133" spans="2:11" ht="21.75" customHeight="1">
      <c r="B133" s="1505" t="s">
        <v>2075</v>
      </c>
      <c r="C133" s="1506">
        <v>7016</v>
      </c>
      <c r="D133" s="1487"/>
      <c r="E133" s="1486">
        <f t="shared" si="16"/>
        <v>42.5</v>
      </c>
      <c r="F133" s="1486">
        <f t="shared" si="17"/>
        <v>42.5</v>
      </c>
      <c r="G133" s="1507">
        <f ca="1">Видатки!L20</f>
        <v>42.5</v>
      </c>
      <c r="H133" s="1507">
        <f ca="1">Видатки!I20</f>
        <v>42.5</v>
      </c>
      <c r="I133" s="1507">
        <f ca="1">Видатки!J20</f>
        <v>42.5</v>
      </c>
      <c r="J133" s="1507">
        <f ca="1">Видатки!K20</f>
        <v>42.5</v>
      </c>
      <c r="K133" s="1507">
        <f ca="1">Видатки!L20</f>
        <v>42.5</v>
      </c>
    </row>
    <row r="134" spans="2:11" s="3" customFormat="1" ht="21.75" customHeight="1">
      <c r="B134" s="5" t="s">
        <v>1990</v>
      </c>
      <c r="C134" s="1508">
        <v>7020</v>
      </c>
      <c r="D134" s="1482"/>
      <c r="E134" s="1482">
        <f>SUM(E135:E140)</f>
        <v>37133916.666820958</v>
      </c>
      <c r="F134" s="1481">
        <f t="shared" si="17"/>
        <v>37133916.666820958</v>
      </c>
      <c r="G134" s="1482">
        <f ca="1">SUM(G135:G140)</f>
        <v>37133916.666820958</v>
      </c>
      <c r="H134" s="1482">
        <f ca="1">SUM(H135:H140)</f>
        <v>9389450.8988460358</v>
      </c>
      <c r="I134" s="1482">
        <f ca="1">SUM(I135:I140)</f>
        <v>9194734.7773368061</v>
      </c>
      <c r="J134" s="1482">
        <f ca="1">SUM(J135:J140)</f>
        <v>9168080.637135379</v>
      </c>
      <c r="K134" s="1482">
        <f ca="1">SUM(K135:K140)</f>
        <v>9381650.3535027392</v>
      </c>
    </row>
    <row r="135" spans="2:11" ht="21.75" customHeight="1">
      <c r="B135" s="1505" t="s">
        <v>2035</v>
      </c>
      <c r="C135" s="1506">
        <v>7021</v>
      </c>
      <c r="D135" s="1487"/>
      <c r="E135" s="1487">
        <f t="shared" ref="E135:E140" si="18">G135</f>
        <v>939135.12041750003</v>
      </c>
      <c r="F135" s="1487">
        <f t="shared" si="17"/>
        <v>939135.12041750003</v>
      </c>
      <c r="G135" s="1488">
        <f ca="1">Видатки!AK10</f>
        <v>939135.12041750003</v>
      </c>
      <c r="H135" s="1488">
        <f ca="1">Видатки!AG10</f>
        <v>234783.78010437501</v>
      </c>
      <c r="I135" s="1488">
        <f ca="1">Видатки!AH10</f>
        <v>234783.78010437501</v>
      </c>
      <c r="J135" s="1488">
        <f ca="1">Видатки!AI10</f>
        <v>234783.78010437501</v>
      </c>
      <c r="K135" s="1488">
        <f ca="1">Видатки!AJ10</f>
        <v>234783.78010437501</v>
      </c>
    </row>
    <row r="136" spans="2:11" ht="21.75" customHeight="1">
      <c r="B136" s="1505" t="s">
        <v>1904</v>
      </c>
      <c r="C136" s="1506">
        <v>7022</v>
      </c>
      <c r="D136" s="1487"/>
      <c r="E136" s="1487">
        <f t="shared" si="18"/>
        <v>10033406.6</v>
      </c>
      <c r="F136" s="1487">
        <f t="shared" si="17"/>
        <v>10033406.6</v>
      </c>
      <c r="G136" s="1488">
        <f ca="1">Видатки!AK14</f>
        <v>10033406.6</v>
      </c>
      <c r="H136" s="1488">
        <f ca="1">Видатки!AG14</f>
        <v>2508351.65</v>
      </c>
      <c r="I136" s="1488">
        <f ca="1">Видатки!AH14</f>
        <v>2508351.65</v>
      </c>
      <c r="J136" s="1488">
        <f ca="1">Видатки!AI14</f>
        <v>2508351.65</v>
      </c>
      <c r="K136" s="1488">
        <f ca="1">Видатки!AJ14</f>
        <v>2508351.65</v>
      </c>
    </row>
    <row r="137" spans="2:11" ht="21.75" customHeight="1">
      <c r="B137" s="1505" t="s">
        <v>1988</v>
      </c>
      <c r="C137" s="1506">
        <v>7023</v>
      </c>
      <c r="D137" s="1487"/>
      <c r="E137" s="1487">
        <f t="shared" si="18"/>
        <v>16391131.074999999</v>
      </c>
      <c r="F137" s="1487">
        <f t="shared" si="17"/>
        <v>16391131.074999999</v>
      </c>
      <c r="G137" s="1488">
        <f ca="1">Видатки!AK16</f>
        <v>16391131.074999999</v>
      </c>
      <c r="H137" s="1488">
        <f ca="1">Видатки!AG16</f>
        <v>4097782.7687499998</v>
      </c>
      <c r="I137" s="1488">
        <f ca="1">Видатки!AH16</f>
        <v>4097782.7687499998</v>
      </c>
      <c r="J137" s="1488">
        <f ca="1">Видатки!AI16</f>
        <v>4097782.7687499998</v>
      </c>
      <c r="K137" s="1488">
        <f ca="1">Видатки!AJ16</f>
        <v>4097782.7687499998</v>
      </c>
    </row>
    <row r="138" spans="2:11" ht="21.75" customHeight="1">
      <c r="B138" s="1505" t="s">
        <v>1989</v>
      </c>
      <c r="C138" s="1506">
        <v>7024</v>
      </c>
      <c r="D138" s="1487"/>
      <c r="E138" s="1487">
        <f t="shared" si="18"/>
        <v>4054933.0433291951</v>
      </c>
      <c r="F138" s="1487">
        <f t="shared" si="17"/>
        <v>4054933.0433291951</v>
      </c>
      <c r="G138" s="1488">
        <f ca="1">Видатки!AK18</f>
        <v>4054933.0433291951</v>
      </c>
      <c r="H138" s="1488">
        <f ca="1">Видатки!AG18</f>
        <v>1013308.9931266848</v>
      </c>
      <c r="I138" s="1488">
        <f ca="1">Видатки!AH18</f>
        <v>1026643.8119066504</v>
      </c>
      <c r="J138" s="1488">
        <f ca="1">Видатки!AI18</f>
        <v>1007239.0723122531</v>
      </c>
      <c r="K138" s="1488">
        <f ca="1">Видатки!AJ18</f>
        <v>1007741.1659836067</v>
      </c>
    </row>
    <row r="139" spans="2:11" ht="21.75" customHeight="1">
      <c r="B139" s="1505" t="s">
        <v>1987</v>
      </c>
      <c r="C139" s="1506">
        <v>7025</v>
      </c>
      <c r="D139" s="1486"/>
      <c r="E139" s="1487">
        <f t="shared" si="18"/>
        <v>2482414.353875</v>
      </c>
      <c r="F139" s="1487">
        <f t="shared" si="17"/>
        <v>2482414.353875</v>
      </c>
      <c r="G139" s="1488">
        <f ca="1">Видатки!AK12</f>
        <v>2482414.353875</v>
      </c>
      <c r="H139" s="1488">
        <f ca="1">Видатки!AG12</f>
        <v>620603.58846875001</v>
      </c>
      <c r="I139" s="1488">
        <f ca="1">Видатки!AH12</f>
        <v>620603.58846875001</v>
      </c>
      <c r="J139" s="1488">
        <f ca="1">Видатки!AI12</f>
        <v>620603.58846875001</v>
      </c>
      <c r="K139" s="1488">
        <f ca="1">Видатки!AJ12</f>
        <v>620603.58846875001</v>
      </c>
    </row>
    <row r="140" spans="2:11" ht="21.75" customHeight="1">
      <c r="B140" s="1505" t="s">
        <v>2075</v>
      </c>
      <c r="C140" s="1506">
        <v>7026</v>
      </c>
      <c r="D140" s="1487"/>
      <c r="E140" s="1487">
        <f t="shared" si="18"/>
        <v>3232896.4741992662</v>
      </c>
      <c r="F140" s="1487">
        <f t="shared" si="17"/>
        <v>3232896.4741992662</v>
      </c>
      <c r="G140" s="1488">
        <f ca="1">Видатки!AK20</f>
        <v>3232896.4741992662</v>
      </c>
      <c r="H140" s="1488">
        <f ca="1">Видатки!AG20</f>
        <v>914620.11839622643</v>
      </c>
      <c r="I140" s="1488">
        <f ca="1">Видатки!AH20</f>
        <v>706569.17810703104</v>
      </c>
      <c r="J140" s="1488">
        <f ca="1">Видатки!AI20</f>
        <v>699319.77750000008</v>
      </c>
      <c r="K140" s="1488">
        <f ca="1">Видатки!AJ20</f>
        <v>912387.40019600862</v>
      </c>
    </row>
    <row r="141" spans="2:11" ht="21.75" customHeight="1">
      <c r="B141" s="1470" t="s">
        <v>1991</v>
      </c>
      <c r="C141" s="1506">
        <v>7030</v>
      </c>
      <c r="D141" s="1488" t="s">
        <v>1999</v>
      </c>
      <c r="E141" s="1507" t="s">
        <v>1999</v>
      </c>
      <c r="F141" s="1507" t="s">
        <v>1999</v>
      </c>
      <c r="G141" s="1507" t="s">
        <v>1999</v>
      </c>
      <c r="H141" s="1507" t="s">
        <v>1999</v>
      </c>
      <c r="I141" s="1507" t="s">
        <v>1999</v>
      </c>
      <c r="J141" s="1507" t="s">
        <v>1999</v>
      </c>
      <c r="K141" s="1507" t="s">
        <v>1999</v>
      </c>
    </row>
    <row r="142" spans="2:11" ht="21.75" customHeight="1">
      <c r="B142" s="1505" t="s">
        <v>2035</v>
      </c>
      <c r="C142" s="1506">
        <v>7031</v>
      </c>
      <c r="D142" s="1488" t="e">
        <f t="shared" ref="D142:D147" si="19">D135/12/D128</f>
        <v>#DIV/0!</v>
      </c>
      <c r="E142" s="1488">
        <f>G142</f>
        <v>19565.315008697919</v>
      </c>
      <c r="F142" s="1488">
        <f>G142</f>
        <v>19565.315008697919</v>
      </c>
      <c r="G142" s="1488">
        <f t="shared" ref="G142:G147" si="20">G135/12/G128</f>
        <v>19565.315008697919</v>
      </c>
      <c r="H142" s="1488">
        <f t="shared" ref="H142:H147" si="21">H135/3/H128</f>
        <v>19565.315008697919</v>
      </c>
      <c r="I142" s="1488">
        <f t="shared" ref="I142:K144" si="22">I135/3/I128</f>
        <v>19565.315008697919</v>
      </c>
      <c r="J142" s="1488">
        <f t="shared" si="22"/>
        <v>19565.315008697919</v>
      </c>
      <c r="K142" s="1488">
        <f t="shared" si="22"/>
        <v>19565.315008697919</v>
      </c>
    </row>
    <row r="143" spans="2:11" ht="21.75" customHeight="1">
      <c r="B143" s="1505" t="s">
        <v>1904</v>
      </c>
      <c r="C143" s="1506">
        <v>7032</v>
      </c>
      <c r="D143" s="1488" t="e">
        <f t="shared" si="19"/>
        <v>#DIV/0!</v>
      </c>
      <c r="E143" s="1488">
        <f t="shared" ref="E143:E148" si="23">G143</f>
        <v>20518.213905930472</v>
      </c>
      <c r="F143" s="1488">
        <f t="shared" ref="F143:F154" si="24">G143</f>
        <v>20518.213905930472</v>
      </c>
      <c r="G143" s="1488">
        <f t="shared" si="20"/>
        <v>20518.213905930472</v>
      </c>
      <c r="H143" s="1488">
        <f>H136/3/H129</f>
        <v>20518.213905930472</v>
      </c>
      <c r="I143" s="1488">
        <f t="shared" si="22"/>
        <v>20518.213905930472</v>
      </c>
      <c r="J143" s="1488">
        <f t="shared" si="22"/>
        <v>20518.213905930472</v>
      </c>
      <c r="K143" s="1488">
        <f t="shared" si="22"/>
        <v>20518.213905930472</v>
      </c>
    </row>
    <row r="144" spans="2:11" ht="21.75" customHeight="1">
      <c r="B144" s="1505" t="s">
        <v>1988</v>
      </c>
      <c r="C144" s="1506">
        <v>7033</v>
      </c>
      <c r="D144" s="1488" t="e">
        <f t="shared" si="19"/>
        <v>#DIV/0!</v>
      </c>
      <c r="E144" s="1488">
        <f t="shared" si="23"/>
        <v>13938.03662840136</v>
      </c>
      <c r="F144" s="1488">
        <f t="shared" si="24"/>
        <v>13938.03662840136</v>
      </c>
      <c r="G144" s="1488">
        <f t="shared" si="20"/>
        <v>13938.03662840136</v>
      </c>
      <c r="H144" s="1488">
        <f t="shared" si="21"/>
        <v>13938.03662840136</v>
      </c>
      <c r="I144" s="1488">
        <f t="shared" si="22"/>
        <v>13938.03662840136</v>
      </c>
      <c r="J144" s="1488">
        <f t="shared" si="22"/>
        <v>13938.03662840136</v>
      </c>
      <c r="K144" s="1488">
        <f t="shared" si="22"/>
        <v>13938.03662840136</v>
      </c>
    </row>
    <row r="145" spans="2:11" ht="21.75" customHeight="1">
      <c r="B145" s="1505" t="s">
        <v>1989</v>
      </c>
      <c r="C145" s="1506">
        <v>7034</v>
      </c>
      <c r="D145" s="1488" t="e">
        <f t="shared" si="19"/>
        <v>#DIV/0!</v>
      </c>
      <c r="E145" s="1488">
        <f t="shared" si="23"/>
        <v>7858.3973707930136</v>
      </c>
      <c r="F145" s="1488">
        <f t="shared" si="24"/>
        <v>7858.3973707930136</v>
      </c>
      <c r="G145" s="1488">
        <f t="shared" si="20"/>
        <v>7858.3973707930136</v>
      </c>
      <c r="H145" s="1488">
        <f t="shared" si="21"/>
        <v>7855.1084738502695</v>
      </c>
      <c r="I145" s="1488">
        <f t="shared" ref="I145:K147" si="25">I138/3/I131</f>
        <v>7958.4791620670576</v>
      </c>
      <c r="J145" s="1488">
        <f t="shared" si="25"/>
        <v>7808.0548241259921</v>
      </c>
      <c r="K145" s="1488">
        <f t="shared" si="25"/>
        <v>7811.9470231287351</v>
      </c>
    </row>
    <row r="146" spans="2:11" ht="21.75" customHeight="1">
      <c r="B146" s="1505" t="s">
        <v>1987</v>
      </c>
      <c r="C146" s="1506">
        <v>7035</v>
      </c>
      <c r="D146" s="1488" t="e">
        <f t="shared" si="19"/>
        <v>#DIV/0!</v>
      </c>
      <c r="E146" s="1488">
        <f t="shared" si="23"/>
        <v>15912.912524839745</v>
      </c>
      <c r="F146" s="1488">
        <f t="shared" si="24"/>
        <v>15912.912524839745</v>
      </c>
      <c r="G146" s="1488">
        <f t="shared" si="20"/>
        <v>15912.912524839745</v>
      </c>
      <c r="H146" s="1488">
        <f t="shared" si="21"/>
        <v>15912.912524839745</v>
      </c>
      <c r="I146" s="1488">
        <f t="shared" si="25"/>
        <v>15912.912524839745</v>
      </c>
      <c r="J146" s="1488">
        <f t="shared" si="25"/>
        <v>15912.912524839745</v>
      </c>
      <c r="K146" s="1488">
        <f t="shared" si="25"/>
        <v>15912.912524839745</v>
      </c>
    </row>
    <row r="147" spans="2:11" ht="21.75" customHeight="1">
      <c r="B147" s="1505" t="s">
        <v>2075</v>
      </c>
      <c r="C147" s="1506">
        <v>7036</v>
      </c>
      <c r="D147" s="1488" t="e">
        <f t="shared" si="19"/>
        <v>#DIV/0!</v>
      </c>
      <c r="E147" s="1488">
        <f t="shared" si="23"/>
        <v>6339.0126945083648</v>
      </c>
      <c r="F147" s="1488">
        <f t="shared" si="24"/>
        <v>6339.0126945083648</v>
      </c>
      <c r="G147" s="1488">
        <f t="shared" si="20"/>
        <v>6339.0126945083648</v>
      </c>
      <c r="H147" s="1488">
        <f t="shared" si="21"/>
        <v>7173.4911246762858</v>
      </c>
      <c r="I147" s="1488">
        <f t="shared" si="25"/>
        <v>5541.7190439767146</v>
      </c>
      <c r="J147" s="1488">
        <f t="shared" si="25"/>
        <v>5484.8610000000008</v>
      </c>
      <c r="K147" s="1488">
        <f t="shared" si="25"/>
        <v>7155.9796093804598</v>
      </c>
    </row>
    <row r="148" spans="2:11" ht="21.75" customHeight="1">
      <c r="B148" s="1470" t="s">
        <v>1992</v>
      </c>
      <c r="C148" s="1506">
        <v>7040</v>
      </c>
      <c r="D148" s="1487">
        <v>0</v>
      </c>
      <c r="E148" s="1507">
        <f t="shared" si="23"/>
        <v>0</v>
      </c>
      <c r="F148" s="1507">
        <f t="shared" si="24"/>
        <v>0</v>
      </c>
      <c r="G148" s="1507">
        <f>SUM(G149:G154)</f>
        <v>0</v>
      </c>
      <c r="H148" s="1507" t="s">
        <v>1999</v>
      </c>
      <c r="I148" s="1507" t="s">
        <v>1999</v>
      </c>
      <c r="J148" s="1507" t="s">
        <v>1999</v>
      </c>
      <c r="K148" s="1507" t="s">
        <v>1999</v>
      </c>
    </row>
    <row r="149" spans="2:11" ht="21.75" customHeight="1">
      <c r="B149" s="1505" t="s">
        <v>2035</v>
      </c>
      <c r="C149" s="1506">
        <v>7041</v>
      </c>
      <c r="D149" s="1487">
        <v>0</v>
      </c>
      <c r="E149" s="1486">
        <v>0</v>
      </c>
      <c r="F149" s="1507">
        <f t="shared" si="24"/>
        <v>0</v>
      </c>
      <c r="G149" s="1486">
        <v>0</v>
      </c>
      <c r="H149" s="1507" t="s">
        <v>1999</v>
      </c>
      <c r="I149" s="1507" t="s">
        <v>1999</v>
      </c>
      <c r="J149" s="1507" t="s">
        <v>1999</v>
      </c>
      <c r="K149" s="1507" t="s">
        <v>1999</v>
      </c>
    </row>
    <row r="150" spans="2:11" ht="21.75" customHeight="1">
      <c r="B150" s="1505" t="s">
        <v>1904</v>
      </c>
      <c r="C150" s="1506">
        <v>7042</v>
      </c>
      <c r="D150" s="1487">
        <v>0</v>
      </c>
      <c r="E150" s="1486">
        <v>0</v>
      </c>
      <c r="F150" s="1507">
        <f t="shared" si="24"/>
        <v>0</v>
      </c>
      <c r="G150" s="1486">
        <v>0</v>
      </c>
      <c r="H150" s="1507" t="s">
        <v>1999</v>
      </c>
      <c r="I150" s="1507" t="s">
        <v>1999</v>
      </c>
      <c r="J150" s="1507" t="s">
        <v>1999</v>
      </c>
      <c r="K150" s="1507" t="s">
        <v>1999</v>
      </c>
    </row>
    <row r="151" spans="2:11" ht="21.75" customHeight="1">
      <c r="B151" s="1505" t="s">
        <v>1988</v>
      </c>
      <c r="C151" s="1506">
        <v>7043</v>
      </c>
      <c r="D151" s="1487">
        <v>0</v>
      </c>
      <c r="E151" s="1486">
        <v>0</v>
      </c>
      <c r="F151" s="1507">
        <f t="shared" si="24"/>
        <v>0</v>
      </c>
      <c r="G151" s="1486">
        <v>0</v>
      </c>
      <c r="H151" s="1507" t="s">
        <v>1999</v>
      </c>
      <c r="I151" s="1507" t="s">
        <v>1999</v>
      </c>
      <c r="J151" s="1507" t="s">
        <v>1999</v>
      </c>
      <c r="K151" s="1507" t="s">
        <v>1999</v>
      </c>
    </row>
    <row r="152" spans="2:11" ht="21.75" customHeight="1">
      <c r="B152" s="1505" t="s">
        <v>1989</v>
      </c>
      <c r="C152" s="1506">
        <v>7044</v>
      </c>
      <c r="D152" s="1487">
        <v>0</v>
      </c>
      <c r="E152" s="1486">
        <v>0</v>
      </c>
      <c r="F152" s="1507">
        <f t="shared" si="24"/>
        <v>0</v>
      </c>
      <c r="G152" s="1486">
        <v>0</v>
      </c>
      <c r="H152" s="1507" t="s">
        <v>1999</v>
      </c>
      <c r="I152" s="1507" t="s">
        <v>1999</v>
      </c>
      <c r="J152" s="1507" t="s">
        <v>1999</v>
      </c>
      <c r="K152" s="1507" t="s">
        <v>1999</v>
      </c>
    </row>
    <row r="153" spans="2:11" ht="21.75" customHeight="1">
      <c r="B153" s="1505" t="s">
        <v>1987</v>
      </c>
      <c r="C153" s="1506">
        <v>7045</v>
      </c>
      <c r="D153" s="1487">
        <v>0</v>
      </c>
      <c r="E153" s="1486">
        <v>0</v>
      </c>
      <c r="F153" s="1507">
        <f t="shared" si="24"/>
        <v>0</v>
      </c>
      <c r="G153" s="1486">
        <v>0</v>
      </c>
      <c r="H153" s="1507" t="s">
        <v>1999</v>
      </c>
      <c r="I153" s="1507" t="s">
        <v>1999</v>
      </c>
      <c r="J153" s="1507" t="s">
        <v>1999</v>
      </c>
      <c r="K153" s="1507" t="s">
        <v>1999</v>
      </c>
    </row>
    <row r="154" spans="2:11" ht="21.75" customHeight="1">
      <c r="B154" s="1505" t="s">
        <v>2075</v>
      </c>
      <c r="C154" s="1506">
        <v>7046</v>
      </c>
      <c r="D154" s="1487">
        <v>0</v>
      </c>
      <c r="E154" s="1486">
        <v>0</v>
      </c>
      <c r="F154" s="1507">
        <f t="shared" si="24"/>
        <v>0</v>
      </c>
      <c r="G154" s="1486">
        <v>0</v>
      </c>
      <c r="H154" s="1507" t="s">
        <v>1999</v>
      </c>
      <c r="I154" s="1507" t="s">
        <v>1999</v>
      </c>
      <c r="J154" s="1507" t="s">
        <v>1999</v>
      </c>
      <c r="K154" s="1507" t="s">
        <v>1999</v>
      </c>
    </row>
    <row r="155" spans="2:11" ht="19.5" customHeight="1">
      <c r="B155" s="1509"/>
      <c r="C155" s="1510"/>
      <c r="D155" s="1511"/>
      <c r="E155" s="1511"/>
      <c r="F155" s="1511"/>
      <c r="G155" s="1511"/>
      <c r="H155" s="1511"/>
      <c r="I155" s="1511"/>
      <c r="J155" s="1511"/>
      <c r="K155" s="1511"/>
    </row>
    <row r="156" spans="2:11" ht="21.75" customHeight="1">
      <c r="B156" s="1522"/>
      <c r="C156" s="1525"/>
      <c r="D156" s="1526"/>
      <c r="E156" s="1527"/>
      <c r="F156" s="1527"/>
      <c r="G156" s="1527"/>
      <c r="H156" s="1527"/>
      <c r="I156" s="1527"/>
      <c r="J156" s="1527"/>
      <c r="K156" s="1527"/>
    </row>
    <row r="157" spans="2:11" ht="25.5">
      <c r="B157" s="1522" t="s">
        <v>1642</v>
      </c>
      <c r="C157" s="1528"/>
      <c r="D157" s="1564" t="s">
        <v>1549</v>
      </c>
      <c r="E157" s="1564"/>
      <c r="F157" s="1564"/>
      <c r="G157" s="1564"/>
      <c r="H157" s="1529"/>
      <c r="I157" s="1565" t="s">
        <v>1743</v>
      </c>
      <c r="J157" s="1565"/>
      <c r="K157" s="1565"/>
    </row>
    <row r="158" spans="2:11" ht="26.25">
      <c r="B158" s="1530"/>
      <c r="C158" s="1531"/>
      <c r="D158" s="1562" t="s">
        <v>450</v>
      </c>
      <c r="E158" s="1562"/>
      <c r="F158" s="1562"/>
      <c r="G158" s="1562"/>
      <c r="H158" s="1523"/>
      <c r="I158" s="1563" t="s">
        <v>525</v>
      </c>
      <c r="J158" s="1563"/>
      <c r="K158" s="1563"/>
    </row>
    <row r="159" spans="2:11" ht="44.25" customHeight="1">
      <c r="B159" s="1509" t="s">
        <v>527</v>
      </c>
      <c r="D159" s="1512"/>
      <c r="E159" s="1513"/>
      <c r="F159" s="1513"/>
      <c r="G159" s="1513"/>
      <c r="H159" s="1513"/>
      <c r="I159" s="1513"/>
      <c r="J159" s="1513"/>
      <c r="K159" s="1513"/>
    </row>
    <row r="160" spans="2:11">
      <c r="B160" s="1509"/>
      <c r="D160" s="1512"/>
      <c r="E160" s="1513"/>
      <c r="F160" s="1513"/>
      <c r="G160" s="1513"/>
      <c r="H160" s="1513"/>
      <c r="I160" s="1513"/>
      <c r="J160" s="1513"/>
      <c r="K160" s="1513"/>
    </row>
    <row r="161" spans="2:11">
      <c r="B161" s="1509"/>
      <c r="D161" s="1512"/>
      <c r="E161" s="1513"/>
      <c r="F161" s="1513"/>
      <c r="G161" s="1513"/>
      <c r="H161" s="1513"/>
      <c r="I161" s="1513"/>
      <c r="J161" s="1513"/>
      <c r="K161" s="1513"/>
    </row>
    <row r="162" spans="2:11">
      <c r="B162" s="1509"/>
      <c r="D162" s="1512"/>
      <c r="E162" s="1513"/>
      <c r="F162" s="1513"/>
      <c r="G162" s="1513"/>
      <c r="H162" s="1513"/>
      <c r="I162" s="1513"/>
      <c r="J162" s="1513"/>
      <c r="K162" s="1513"/>
    </row>
    <row r="163" spans="2:11">
      <c r="B163" s="1509"/>
      <c r="D163" s="1512"/>
      <c r="E163" s="1513"/>
      <c r="F163" s="1513"/>
      <c r="G163" s="1513"/>
      <c r="H163" s="1513"/>
      <c r="I163" s="1513"/>
      <c r="J163" s="1513"/>
      <c r="K163" s="1513"/>
    </row>
    <row r="164" spans="2:11">
      <c r="B164" s="1509"/>
      <c r="D164" s="1512"/>
      <c r="E164" s="1513"/>
      <c r="F164" s="1513"/>
      <c r="G164" s="1513"/>
      <c r="H164" s="1513"/>
      <c r="I164" s="1513"/>
      <c r="J164" s="1513"/>
      <c r="K164" s="1513"/>
    </row>
    <row r="165" spans="2:11">
      <c r="B165" s="1509"/>
      <c r="D165" s="1512"/>
      <c r="E165" s="1513"/>
      <c r="F165" s="1513"/>
      <c r="G165" s="1513"/>
      <c r="H165" s="1513"/>
      <c r="I165" s="1513"/>
      <c r="J165" s="1513"/>
      <c r="K165" s="1513"/>
    </row>
    <row r="166" spans="2:11">
      <c r="B166" s="1509"/>
      <c r="D166" s="1512"/>
      <c r="E166" s="1513"/>
      <c r="F166" s="1513"/>
      <c r="G166" s="1513"/>
      <c r="H166" s="1513"/>
      <c r="I166" s="1513"/>
      <c r="J166" s="1513"/>
      <c r="K166" s="1513"/>
    </row>
    <row r="167" spans="2:11">
      <c r="B167" s="1509"/>
      <c r="D167" s="1512"/>
      <c r="E167" s="1513"/>
      <c r="F167" s="1513"/>
      <c r="G167" s="1513"/>
      <c r="H167" s="1513"/>
      <c r="I167" s="1513"/>
      <c r="J167" s="1513"/>
      <c r="K167" s="1513"/>
    </row>
    <row r="168" spans="2:11">
      <c r="B168" s="1509"/>
      <c r="D168" s="1512"/>
      <c r="E168" s="1513"/>
      <c r="F168" s="1513"/>
      <c r="G168" s="1513"/>
      <c r="H168" s="1513"/>
      <c r="I168" s="1513"/>
      <c r="J168" s="1513"/>
      <c r="K168" s="1513"/>
    </row>
    <row r="169" spans="2:11">
      <c r="B169" s="1509"/>
      <c r="D169" s="1512"/>
      <c r="E169" s="1513"/>
      <c r="F169" s="1513"/>
      <c r="G169" s="1513"/>
      <c r="H169" s="1513"/>
      <c r="I169" s="1513"/>
      <c r="J169" s="1513"/>
      <c r="K169" s="1513"/>
    </row>
    <row r="170" spans="2:11">
      <c r="B170" s="1509"/>
      <c r="D170" s="1512"/>
      <c r="E170" s="1513"/>
      <c r="F170" s="1513"/>
      <c r="G170" s="1513"/>
      <c r="H170" s="1513"/>
      <c r="I170" s="1513"/>
      <c r="J170" s="1513"/>
      <c r="K170" s="1513"/>
    </row>
    <row r="171" spans="2:11">
      <c r="B171" s="1509"/>
      <c r="D171" s="1512"/>
      <c r="E171" s="1513"/>
      <c r="F171" s="1513"/>
      <c r="G171" s="1513"/>
      <c r="H171" s="1513"/>
      <c r="I171" s="1513"/>
      <c r="J171" s="1513"/>
      <c r="K171" s="1513"/>
    </row>
    <row r="172" spans="2:11">
      <c r="B172" s="1509"/>
      <c r="D172" s="1512"/>
      <c r="E172" s="1513"/>
      <c r="F172" s="1513"/>
      <c r="G172" s="1513"/>
      <c r="H172" s="1513"/>
      <c r="I172" s="1513"/>
      <c r="J172" s="1513"/>
      <c r="K172" s="1513"/>
    </row>
    <row r="173" spans="2:11">
      <c r="B173" s="1509"/>
      <c r="D173" s="1512"/>
      <c r="E173" s="1513"/>
      <c r="F173" s="1513"/>
      <c r="G173" s="1513"/>
      <c r="H173" s="1513"/>
      <c r="I173" s="1513"/>
      <c r="J173" s="1513"/>
      <c r="K173" s="1513"/>
    </row>
    <row r="174" spans="2:11">
      <c r="B174" s="1509"/>
      <c r="D174" s="1512"/>
      <c r="E174" s="1513"/>
      <c r="F174" s="1513"/>
      <c r="G174" s="1513"/>
      <c r="H174" s="1513"/>
      <c r="I174" s="1513"/>
      <c r="J174" s="1513"/>
      <c r="K174" s="1513"/>
    </row>
    <row r="175" spans="2:11">
      <c r="B175" s="1509"/>
      <c r="D175" s="1512"/>
      <c r="E175" s="1513"/>
      <c r="F175" s="1513"/>
      <c r="G175" s="1513"/>
      <c r="H175" s="1513"/>
      <c r="I175" s="1513"/>
      <c r="J175" s="1513"/>
      <c r="K175" s="1513"/>
    </row>
    <row r="176" spans="2:11">
      <c r="B176" s="1509"/>
      <c r="D176" s="1512"/>
      <c r="E176" s="1513"/>
      <c r="F176" s="1513"/>
      <c r="G176" s="1513"/>
      <c r="H176" s="1513"/>
      <c r="I176" s="1513"/>
      <c r="J176" s="1513"/>
      <c r="K176" s="1513"/>
    </row>
    <row r="177" spans="2:11">
      <c r="B177" s="1509"/>
      <c r="D177" s="1512"/>
      <c r="E177" s="1513"/>
      <c r="F177" s="1513"/>
      <c r="G177" s="1513"/>
      <c r="H177" s="1513"/>
      <c r="I177" s="1513"/>
      <c r="J177" s="1513"/>
      <c r="K177" s="1513"/>
    </row>
    <row r="178" spans="2:11">
      <c r="B178" s="1509"/>
      <c r="D178" s="1512"/>
      <c r="E178" s="1513"/>
      <c r="F178" s="1513"/>
      <c r="G178" s="1513"/>
      <c r="H178" s="1513"/>
      <c r="I178" s="1513"/>
      <c r="J178" s="1513"/>
      <c r="K178" s="1513"/>
    </row>
    <row r="179" spans="2:11">
      <c r="B179" s="1509"/>
      <c r="D179" s="1512"/>
      <c r="E179" s="1513"/>
      <c r="F179" s="1513"/>
      <c r="G179" s="1513"/>
      <c r="H179" s="1513"/>
      <c r="I179" s="1513"/>
      <c r="J179" s="1513"/>
      <c r="K179" s="1513"/>
    </row>
    <row r="180" spans="2:11">
      <c r="B180" s="1509"/>
      <c r="D180" s="1512"/>
      <c r="E180" s="1513"/>
      <c r="F180" s="1513"/>
      <c r="G180" s="1513"/>
      <c r="H180" s="1513"/>
      <c r="I180" s="1513"/>
      <c r="J180" s="1513"/>
      <c r="K180" s="1513"/>
    </row>
    <row r="181" spans="2:11">
      <c r="B181" s="1509"/>
      <c r="D181" s="1512"/>
      <c r="E181" s="1513"/>
      <c r="F181" s="1513"/>
      <c r="G181" s="1513"/>
      <c r="H181" s="1513"/>
      <c r="I181" s="1513"/>
      <c r="J181" s="1513"/>
      <c r="K181" s="1513"/>
    </row>
    <row r="182" spans="2:11">
      <c r="B182" s="1509"/>
      <c r="D182" s="1512"/>
      <c r="E182" s="1513"/>
      <c r="F182" s="1513"/>
      <c r="G182" s="1513"/>
      <c r="H182" s="1513"/>
      <c r="I182" s="1513"/>
      <c r="J182" s="1513"/>
      <c r="K182" s="1513"/>
    </row>
    <row r="183" spans="2:11">
      <c r="B183" s="1509"/>
      <c r="D183" s="1512"/>
      <c r="E183" s="1513"/>
      <c r="F183" s="1513"/>
      <c r="G183" s="1513"/>
      <c r="H183" s="1513"/>
      <c r="I183" s="1513"/>
      <c r="J183" s="1513"/>
      <c r="K183" s="1513"/>
    </row>
    <row r="184" spans="2:11">
      <c r="B184" s="1509"/>
      <c r="D184" s="1512"/>
      <c r="E184" s="1513"/>
      <c r="F184" s="1513"/>
      <c r="G184" s="1513"/>
      <c r="H184" s="1513"/>
      <c r="I184" s="1513"/>
      <c r="J184" s="1513"/>
      <c r="K184" s="1513"/>
    </row>
    <row r="185" spans="2:11">
      <c r="B185" s="1509"/>
      <c r="D185" s="1512"/>
      <c r="E185" s="1513"/>
      <c r="F185" s="1513"/>
      <c r="G185" s="1513"/>
      <c r="H185" s="1513"/>
      <c r="I185" s="1513"/>
      <c r="J185" s="1513"/>
      <c r="K185" s="1513"/>
    </row>
    <row r="186" spans="2:11">
      <c r="B186" s="1509"/>
      <c r="D186" s="1512"/>
      <c r="E186" s="1513"/>
      <c r="F186" s="1513"/>
      <c r="G186" s="1513"/>
      <c r="H186" s="1513"/>
      <c r="I186" s="1513"/>
      <c r="J186" s="1513"/>
      <c r="K186" s="1513"/>
    </row>
    <row r="187" spans="2:11">
      <c r="B187" s="1509"/>
      <c r="D187" s="1512"/>
      <c r="E187" s="1513"/>
      <c r="F187" s="1513"/>
      <c r="G187" s="1513"/>
      <c r="H187" s="1513"/>
      <c r="I187" s="1513"/>
      <c r="J187" s="1513"/>
      <c r="K187" s="1513"/>
    </row>
    <row r="188" spans="2:11">
      <c r="B188" s="1509"/>
      <c r="D188" s="1512"/>
      <c r="E188" s="1513"/>
      <c r="F188" s="1513"/>
      <c r="G188" s="1513"/>
      <c r="H188" s="1513"/>
      <c r="I188" s="1513"/>
      <c r="J188" s="1513"/>
      <c r="K188" s="1513"/>
    </row>
    <row r="189" spans="2:11">
      <c r="B189" s="1509"/>
      <c r="D189" s="1512"/>
      <c r="E189" s="1513"/>
      <c r="F189" s="1513"/>
      <c r="G189" s="1513"/>
      <c r="H189" s="1513"/>
      <c r="I189" s="1513"/>
      <c r="J189" s="1513"/>
      <c r="K189" s="1513"/>
    </row>
    <row r="190" spans="2:11">
      <c r="B190" s="1509"/>
      <c r="D190" s="1512"/>
      <c r="E190" s="1513"/>
      <c r="F190" s="1513"/>
      <c r="G190" s="1513"/>
      <c r="H190" s="1513"/>
      <c r="I190" s="1513"/>
      <c r="J190" s="1513"/>
      <c r="K190" s="1513"/>
    </row>
    <row r="191" spans="2:11">
      <c r="B191" s="1509"/>
      <c r="D191" s="1512"/>
      <c r="E191" s="1513"/>
      <c r="F191" s="1513"/>
      <c r="G191" s="1513"/>
      <c r="H191" s="1513"/>
      <c r="I191" s="1513"/>
      <c r="J191" s="1513"/>
      <c r="K191" s="1513"/>
    </row>
    <row r="192" spans="2:11">
      <c r="B192" s="1509"/>
      <c r="D192" s="1512"/>
      <c r="E192" s="1513"/>
      <c r="F192" s="1513"/>
      <c r="G192" s="1513"/>
      <c r="H192" s="1513"/>
      <c r="I192" s="1513"/>
      <c r="J192" s="1513"/>
      <c r="K192" s="1513"/>
    </row>
    <row r="193" spans="2:11">
      <c r="B193" s="1509"/>
      <c r="D193" s="1512"/>
      <c r="E193" s="1513"/>
      <c r="F193" s="1513"/>
      <c r="G193" s="1513"/>
      <c r="H193" s="1513"/>
      <c r="I193" s="1513"/>
      <c r="J193" s="1513"/>
      <c r="K193" s="1513"/>
    </row>
    <row r="194" spans="2:11">
      <c r="B194" s="1509"/>
      <c r="D194" s="1512"/>
      <c r="E194" s="1513"/>
      <c r="F194" s="1513"/>
      <c r="G194" s="1513"/>
      <c r="H194" s="1513"/>
      <c r="I194" s="1513"/>
      <c r="J194" s="1513"/>
      <c r="K194" s="1513"/>
    </row>
    <row r="195" spans="2:11">
      <c r="B195" s="1509"/>
      <c r="D195" s="1512"/>
      <c r="E195" s="1513"/>
      <c r="F195" s="1513"/>
      <c r="G195" s="1513"/>
      <c r="H195" s="1513"/>
      <c r="I195" s="1513"/>
      <c r="J195" s="1513"/>
      <c r="K195" s="1513"/>
    </row>
    <row r="196" spans="2:11">
      <c r="B196" s="1509"/>
      <c r="D196" s="1512"/>
      <c r="E196" s="1513"/>
      <c r="F196" s="1513"/>
      <c r="G196" s="1513"/>
      <c r="H196" s="1513"/>
      <c r="I196" s="1513"/>
      <c r="J196" s="1513"/>
      <c r="K196" s="1513"/>
    </row>
    <row r="197" spans="2:11">
      <c r="B197" s="1509"/>
      <c r="D197" s="1512"/>
      <c r="E197" s="1513"/>
      <c r="F197" s="1513"/>
      <c r="G197" s="1513"/>
      <c r="H197" s="1513"/>
      <c r="I197" s="1513"/>
      <c r="J197" s="1513"/>
      <c r="K197" s="1513"/>
    </row>
    <row r="198" spans="2:11">
      <c r="B198" s="1509"/>
      <c r="D198" s="1512"/>
      <c r="E198" s="1513"/>
      <c r="F198" s="1513"/>
      <c r="G198" s="1513"/>
      <c r="H198" s="1513"/>
      <c r="I198" s="1513"/>
      <c r="J198" s="1513"/>
      <c r="K198" s="1513"/>
    </row>
    <row r="199" spans="2:11">
      <c r="B199" s="1509"/>
      <c r="D199" s="1512"/>
      <c r="E199" s="1513"/>
      <c r="F199" s="1513"/>
      <c r="G199" s="1513"/>
      <c r="H199" s="1513"/>
      <c r="I199" s="1513"/>
      <c r="J199" s="1513"/>
      <c r="K199" s="1513"/>
    </row>
    <row r="200" spans="2:11">
      <c r="B200" s="1514"/>
    </row>
    <row r="201" spans="2:11">
      <c r="B201" s="1514"/>
    </row>
    <row r="202" spans="2:11">
      <c r="B202" s="1514"/>
    </row>
    <row r="203" spans="2:11">
      <c r="B203" s="1514"/>
    </row>
    <row r="204" spans="2:11">
      <c r="B204" s="1514"/>
    </row>
    <row r="205" spans="2:11">
      <c r="B205" s="1514"/>
    </row>
    <row r="206" spans="2:11">
      <c r="B206" s="1514"/>
    </row>
    <row r="207" spans="2:11">
      <c r="B207" s="1514"/>
    </row>
    <row r="208" spans="2:11">
      <c r="B208" s="1514"/>
    </row>
    <row r="209" spans="2:2">
      <c r="B209" s="1514"/>
    </row>
    <row r="210" spans="2:2">
      <c r="B210" s="1514"/>
    </row>
    <row r="211" spans="2:2">
      <c r="B211" s="1514"/>
    </row>
    <row r="212" spans="2:2">
      <c r="B212" s="1514"/>
    </row>
    <row r="213" spans="2:2">
      <c r="B213" s="1514"/>
    </row>
    <row r="214" spans="2:2">
      <c r="B214" s="1514"/>
    </row>
    <row r="215" spans="2:2">
      <c r="B215" s="1514"/>
    </row>
    <row r="216" spans="2:2">
      <c r="B216" s="1514"/>
    </row>
    <row r="217" spans="2:2">
      <c r="B217" s="1514"/>
    </row>
    <row r="218" spans="2:2">
      <c r="B218" s="1514"/>
    </row>
    <row r="219" spans="2:2">
      <c r="B219" s="1514"/>
    </row>
    <row r="220" spans="2:2">
      <c r="B220" s="1514"/>
    </row>
    <row r="221" spans="2:2">
      <c r="B221" s="1514"/>
    </row>
    <row r="222" spans="2:2">
      <c r="B222" s="1514"/>
    </row>
    <row r="223" spans="2:2">
      <c r="B223" s="1514"/>
    </row>
    <row r="224" spans="2:2">
      <c r="B224" s="1514"/>
    </row>
    <row r="225" spans="2:2">
      <c r="B225" s="1514"/>
    </row>
    <row r="226" spans="2:2">
      <c r="B226" s="1514"/>
    </row>
    <row r="227" spans="2:2">
      <c r="B227" s="1514"/>
    </row>
    <row r="228" spans="2:2">
      <c r="B228" s="1514"/>
    </row>
    <row r="229" spans="2:2">
      <c r="B229" s="1514"/>
    </row>
    <row r="230" spans="2:2">
      <c r="B230" s="1514"/>
    </row>
    <row r="231" spans="2:2">
      <c r="B231" s="1514"/>
    </row>
    <row r="232" spans="2:2">
      <c r="B232" s="1514"/>
    </row>
    <row r="233" spans="2:2">
      <c r="B233" s="1514"/>
    </row>
    <row r="234" spans="2:2">
      <c r="B234" s="1514"/>
    </row>
    <row r="235" spans="2:2">
      <c r="B235" s="1514"/>
    </row>
    <row r="236" spans="2:2">
      <c r="B236" s="1514"/>
    </row>
    <row r="237" spans="2:2">
      <c r="B237" s="1514"/>
    </row>
    <row r="238" spans="2:2">
      <c r="B238" s="1514"/>
    </row>
    <row r="239" spans="2:2">
      <c r="B239" s="1514"/>
    </row>
    <row r="240" spans="2:2">
      <c r="B240" s="1514"/>
    </row>
    <row r="241" spans="2:2">
      <c r="B241" s="1514"/>
    </row>
    <row r="242" spans="2:2">
      <c r="B242" s="1514"/>
    </row>
    <row r="243" spans="2:2">
      <c r="B243" s="1514"/>
    </row>
    <row r="244" spans="2:2">
      <c r="B244" s="1514"/>
    </row>
    <row r="245" spans="2:2">
      <c r="B245" s="1514"/>
    </row>
    <row r="246" spans="2:2">
      <c r="B246" s="1514"/>
    </row>
    <row r="247" spans="2:2">
      <c r="B247" s="1514"/>
    </row>
    <row r="248" spans="2:2">
      <c r="B248" s="1514"/>
    </row>
    <row r="249" spans="2:2">
      <c r="B249" s="1514"/>
    </row>
    <row r="250" spans="2:2">
      <c r="B250" s="1514"/>
    </row>
    <row r="251" spans="2:2">
      <c r="B251" s="1514"/>
    </row>
    <row r="252" spans="2:2">
      <c r="B252" s="1514"/>
    </row>
    <row r="253" spans="2:2">
      <c r="B253" s="1514"/>
    </row>
    <row r="254" spans="2:2">
      <c r="B254" s="1514"/>
    </row>
    <row r="255" spans="2:2">
      <c r="B255" s="1514"/>
    </row>
    <row r="256" spans="2:2">
      <c r="B256" s="1514"/>
    </row>
    <row r="257" spans="2:2">
      <c r="B257" s="1514"/>
    </row>
    <row r="258" spans="2:2">
      <c r="B258" s="1514"/>
    </row>
    <row r="259" spans="2:2">
      <c r="B259" s="1514"/>
    </row>
    <row r="260" spans="2:2">
      <c r="B260" s="1514"/>
    </row>
    <row r="261" spans="2:2">
      <c r="B261" s="1514"/>
    </row>
    <row r="262" spans="2:2">
      <c r="B262" s="1514"/>
    </row>
    <row r="263" spans="2:2">
      <c r="B263" s="1514"/>
    </row>
    <row r="264" spans="2:2">
      <c r="B264" s="1514"/>
    </row>
    <row r="265" spans="2:2">
      <c r="B265" s="1514"/>
    </row>
    <row r="266" spans="2:2">
      <c r="B266" s="1514"/>
    </row>
    <row r="267" spans="2:2">
      <c r="B267" s="1514"/>
    </row>
    <row r="268" spans="2:2">
      <c r="B268" s="1514"/>
    </row>
    <row r="269" spans="2:2">
      <c r="B269" s="1514"/>
    </row>
    <row r="270" spans="2:2">
      <c r="B270" s="1514"/>
    </row>
    <row r="271" spans="2:2">
      <c r="B271" s="1514"/>
    </row>
    <row r="272" spans="2:2">
      <c r="B272" s="1514"/>
    </row>
    <row r="273" spans="2:2">
      <c r="B273" s="1514"/>
    </row>
    <row r="274" spans="2:2">
      <c r="B274" s="1514"/>
    </row>
    <row r="275" spans="2:2">
      <c r="B275" s="1514"/>
    </row>
    <row r="276" spans="2:2">
      <c r="B276" s="1514"/>
    </row>
    <row r="277" spans="2:2">
      <c r="B277" s="1514"/>
    </row>
    <row r="278" spans="2:2">
      <c r="B278" s="1514"/>
    </row>
    <row r="279" spans="2:2">
      <c r="B279" s="1514"/>
    </row>
    <row r="280" spans="2:2">
      <c r="B280" s="1514"/>
    </row>
    <row r="281" spans="2:2">
      <c r="B281" s="1514"/>
    </row>
    <row r="282" spans="2:2">
      <c r="B282" s="1514"/>
    </row>
    <row r="283" spans="2:2">
      <c r="B283" s="1514"/>
    </row>
    <row r="284" spans="2:2">
      <c r="B284" s="1514"/>
    </row>
    <row r="285" spans="2:2">
      <c r="B285" s="1514"/>
    </row>
    <row r="286" spans="2:2">
      <c r="B286" s="1514"/>
    </row>
    <row r="287" spans="2:2">
      <c r="B287" s="1514"/>
    </row>
    <row r="288" spans="2:2">
      <c r="B288" s="1514"/>
    </row>
    <row r="289" spans="2:2">
      <c r="B289" s="1514"/>
    </row>
    <row r="290" spans="2:2">
      <c r="B290" s="1514"/>
    </row>
    <row r="291" spans="2:2">
      <c r="B291" s="1514"/>
    </row>
    <row r="292" spans="2:2">
      <c r="B292" s="1514"/>
    </row>
    <row r="293" spans="2:2">
      <c r="B293" s="1514"/>
    </row>
    <row r="294" spans="2:2">
      <c r="B294" s="1514"/>
    </row>
    <row r="295" spans="2:2">
      <c r="B295" s="1514"/>
    </row>
    <row r="296" spans="2:2">
      <c r="B296" s="1514"/>
    </row>
    <row r="297" spans="2:2">
      <c r="B297" s="1514"/>
    </row>
    <row r="298" spans="2:2">
      <c r="B298" s="1514"/>
    </row>
    <row r="299" spans="2:2">
      <c r="B299" s="1514"/>
    </row>
    <row r="300" spans="2:2">
      <c r="B300" s="1514"/>
    </row>
    <row r="301" spans="2:2">
      <c r="B301" s="1514"/>
    </row>
    <row r="302" spans="2:2">
      <c r="B302" s="1514"/>
    </row>
    <row r="303" spans="2:2">
      <c r="B303" s="1514"/>
    </row>
    <row r="304" spans="2:2">
      <c r="B304" s="1514"/>
    </row>
    <row r="305" spans="2:2">
      <c r="B305" s="1514"/>
    </row>
    <row r="306" spans="2:2">
      <c r="B306" s="1514"/>
    </row>
    <row r="307" spans="2:2">
      <c r="B307" s="1514"/>
    </row>
    <row r="308" spans="2:2">
      <c r="B308" s="1514"/>
    </row>
    <row r="309" spans="2:2">
      <c r="B309" s="1514"/>
    </row>
    <row r="310" spans="2:2">
      <c r="B310" s="1514"/>
    </row>
    <row r="311" spans="2:2">
      <c r="B311" s="1514"/>
    </row>
    <row r="312" spans="2:2">
      <c r="B312" s="1514"/>
    </row>
    <row r="313" spans="2:2">
      <c r="B313" s="1514"/>
    </row>
    <row r="314" spans="2:2">
      <c r="B314" s="1514"/>
    </row>
    <row r="315" spans="2:2">
      <c r="B315" s="1514"/>
    </row>
    <row r="316" spans="2:2">
      <c r="B316" s="1514"/>
    </row>
    <row r="317" spans="2:2">
      <c r="B317" s="1514"/>
    </row>
    <row r="318" spans="2:2">
      <c r="B318" s="1514"/>
    </row>
    <row r="319" spans="2:2">
      <c r="B319" s="1514"/>
    </row>
    <row r="320" spans="2:2">
      <c r="B320" s="1514"/>
    </row>
    <row r="321" spans="2:2">
      <c r="B321" s="1514"/>
    </row>
    <row r="322" spans="2:2">
      <c r="B322" s="1514"/>
    </row>
    <row r="323" spans="2:2">
      <c r="B323" s="1514"/>
    </row>
    <row r="324" spans="2:2">
      <c r="B324" s="1514"/>
    </row>
    <row r="325" spans="2:2">
      <c r="B325" s="1514"/>
    </row>
    <row r="326" spans="2:2">
      <c r="B326" s="1514"/>
    </row>
    <row r="327" spans="2:2">
      <c r="B327" s="1514"/>
    </row>
    <row r="328" spans="2:2">
      <c r="B328" s="1514"/>
    </row>
    <row r="329" spans="2:2">
      <c r="B329" s="1514"/>
    </row>
    <row r="330" spans="2:2">
      <c r="B330" s="1514"/>
    </row>
    <row r="331" spans="2:2">
      <c r="B331" s="1514"/>
    </row>
    <row r="332" spans="2:2">
      <c r="B332" s="1514"/>
    </row>
    <row r="333" spans="2:2">
      <c r="B333" s="1514"/>
    </row>
    <row r="334" spans="2:2">
      <c r="B334" s="1514"/>
    </row>
    <row r="335" spans="2:2">
      <c r="B335" s="1514"/>
    </row>
    <row r="336" spans="2:2">
      <c r="B336" s="1514"/>
    </row>
    <row r="337" spans="2:2">
      <c r="B337" s="1514"/>
    </row>
    <row r="338" spans="2:2">
      <c r="B338" s="1514"/>
    </row>
    <row r="339" spans="2:2">
      <c r="B339" s="1514"/>
    </row>
    <row r="340" spans="2:2">
      <c r="B340" s="1514"/>
    </row>
    <row r="341" spans="2:2">
      <c r="B341" s="1514"/>
    </row>
    <row r="342" spans="2:2">
      <c r="B342" s="1514"/>
    </row>
    <row r="343" spans="2:2">
      <c r="B343" s="1514"/>
    </row>
    <row r="344" spans="2:2">
      <c r="B344" s="1514"/>
    </row>
    <row r="345" spans="2:2">
      <c r="B345" s="1514"/>
    </row>
    <row r="346" spans="2:2">
      <c r="B346" s="1514"/>
    </row>
    <row r="347" spans="2:2">
      <c r="B347" s="1514"/>
    </row>
    <row r="348" spans="2:2">
      <c r="B348" s="1514"/>
    </row>
    <row r="349" spans="2:2">
      <c r="B349" s="1514"/>
    </row>
    <row r="350" spans="2:2">
      <c r="B350" s="1514"/>
    </row>
    <row r="351" spans="2:2">
      <c r="B351" s="1514"/>
    </row>
    <row r="352" spans="2:2">
      <c r="B352" s="1514"/>
    </row>
    <row r="353" spans="2:2">
      <c r="B353" s="1514"/>
    </row>
    <row r="354" spans="2:2">
      <c r="B354" s="1514"/>
    </row>
    <row r="355" spans="2:2">
      <c r="B355" s="1514"/>
    </row>
    <row r="356" spans="2:2">
      <c r="B356" s="1514"/>
    </row>
    <row r="357" spans="2:2">
      <c r="B357" s="1514"/>
    </row>
    <row r="358" spans="2:2">
      <c r="B358" s="1514"/>
    </row>
    <row r="359" spans="2:2">
      <c r="B359" s="1514"/>
    </row>
    <row r="360" spans="2:2">
      <c r="B360" s="1514"/>
    </row>
    <row r="361" spans="2:2">
      <c r="B361" s="1514"/>
    </row>
    <row r="362" spans="2:2">
      <c r="B362" s="1514"/>
    </row>
    <row r="363" spans="2:2">
      <c r="B363" s="1514"/>
    </row>
    <row r="364" spans="2:2">
      <c r="B364" s="1514"/>
    </row>
    <row r="365" spans="2:2">
      <c r="B365" s="1514"/>
    </row>
    <row r="366" spans="2:2">
      <c r="B366" s="1514"/>
    </row>
  </sheetData>
  <mergeCells count="59">
    <mergeCell ref="I23:J23"/>
    <mergeCell ref="I12:J12"/>
    <mergeCell ref="I13:J13"/>
    <mergeCell ref="I14:J14"/>
    <mergeCell ref="I16:K16"/>
    <mergeCell ref="I19:J19"/>
    <mergeCell ref="I15:J15"/>
    <mergeCell ref="C22:H22"/>
    <mergeCell ref="I22:J22"/>
    <mergeCell ref="C19:H19"/>
    <mergeCell ref="I18:K18"/>
    <mergeCell ref="C20:H20"/>
    <mergeCell ref="C21:H21"/>
    <mergeCell ref="C18:H18"/>
    <mergeCell ref="I21:J21"/>
    <mergeCell ref="I20:J20"/>
    <mergeCell ref="C23:H23"/>
    <mergeCell ref="C25:H25"/>
    <mergeCell ref="B83:K83"/>
    <mergeCell ref="B38:K38"/>
    <mergeCell ref="B37:K37"/>
    <mergeCell ref="C26:H26"/>
    <mergeCell ref="I24:J24"/>
    <mergeCell ref="C24:H24"/>
    <mergeCell ref="I25:J25"/>
    <mergeCell ref="I26:J26"/>
    <mergeCell ref="C28:H28"/>
    <mergeCell ref="I28:J28"/>
    <mergeCell ref="E34:E35"/>
    <mergeCell ref="C29:H29"/>
    <mergeCell ref="B32:K32"/>
    <mergeCell ref="B34:B35"/>
    <mergeCell ref="I30:J30"/>
    <mergeCell ref="C34:C35"/>
    <mergeCell ref="B51:K51"/>
    <mergeCell ref="B89:K89"/>
    <mergeCell ref="B113:K113"/>
    <mergeCell ref="B90:K90"/>
    <mergeCell ref="B84:K84"/>
    <mergeCell ref="B119:K119"/>
    <mergeCell ref="I27:J27"/>
    <mergeCell ref="C30:H30"/>
    <mergeCell ref="C27:H27"/>
    <mergeCell ref="D54:K54"/>
    <mergeCell ref="D34:D35"/>
    <mergeCell ref="G34:G35"/>
    <mergeCell ref="I29:J29"/>
    <mergeCell ref="F34:F35"/>
    <mergeCell ref="H34:K34"/>
    <mergeCell ref="B125:K125"/>
    <mergeCell ref="B118:K118"/>
    <mergeCell ref="B100:K100"/>
    <mergeCell ref="D158:G158"/>
    <mergeCell ref="I158:K158"/>
    <mergeCell ref="D157:G157"/>
    <mergeCell ref="I157:K157"/>
    <mergeCell ref="B101:K101"/>
    <mergeCell ref="B112:K112"/>
    <mergeCell ref="B126:K126"/>
  </mergeCells>
  <phoneticPr fontId="0" type="noConversion"/>
  <conditionalFormatting sqref="D82:K82">
    <cfRule type="cellIs" dxfId="1002" priority="27" operator="lessThanOrEqual">
      <formula>0</formula>
    </cfRule>
  </conditionalFormatting>
  <conditionalFormatting sqref="D58:G82 G91 D127:G154 G55:G57 D54 D85:G88 D55:F81 D92:G99 D39:G50 D52:G53 H76:K77 H81:K81 D102:K111 H142:K147 F74:K75">
    <cfRule type="notContainsBlanks" dxfId="1001" priority="26">
      <formula>LEN(TRIM(D39))&gt;0</formula>
    </cfRule>
  </conditionalFormatting>
  <pageMargins left="0.39370078740157483" right="0" top="0" bottom="0" header="0" footer="0"/>
  <pageSetup paperSize="9" scale="40" fitToHeight="2" orientation="portrait" blackAndWhite="1" r:id="rId1"/>
  <headerFooter alignWithMargins="0"/>
  <rowBreaks count="1" manualBreakCount="1">
    <brk id="83" min="1" max="10" man="1"/>
  </rowBreaks>
  <ignoredErrors>
    <ignoredError sqref="G144 G82:K82 I80:K80 G143 G145:G147 I81:K81" evalError="1"/>
    <ignoredError sqref="G72 G62 G48 G9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AY31"/>
  <sheetViews>
    <sheetView showGridLines="0" view="pageBreakPreview" zoomScale="70" zoomScaleNormal="100" zoomScaleSheetLayoutView="70" workbookViewId="0">
      <selection activeCell="G34" sqref="G34"/>
    </sheetView>
  </sheetViews>
  <sheetFormatPr defaultColWidth="8.85546875" defaultRowHeight="15"/>
  <cols>
    <col min="1" max="1" width="8.85546875" style="36"/>
    <col min="2" max="2" width="62.140625" style="36" customWidth="1"/>
    <col min="3" max="9" width="19.28515625" style="36" customWidth="1"/>
    <col min="10" max="11" width="19.28515625" style="40" customWidth="1"/>
    <col min="12" max="14" width="21" style="85" customWidth="1"/>
    <col min="15" max="15" width="13" style="36" bestFit="1" customWidth="1"/>
    <col min="16" max="16384" width="8.85546875" style="36"/>
  </cols>
  <sheetData>
    <row r="1" spans="1:51">
      <c r="C1" s="86">
        <f>C9-C2</f>
        <v>0</v>
      </c>
      <c r="D1" s="86">
        <f>D9-D2</f>
        <v>0</v>
      </c>
      <c r="E1" s="86">
        <f>E9-E2</f>
        <v>0</v>
      </c>
      <c r="F1" s="86">
        <f>F9-F2</f>
        <v>0</v>
      </c>
      <c r="G1" s="86">
        <f>G9-G2</f>
        <v>0</v>
      </c>
      <c r="H1" s="86"/>
      <c r="I1" s="86"/>
    </row>
    <row r="2" spans="1:51" s="82" customFormat="1" ht="16.5">
      <c r="C2" s="1226">
        <f ca="1">'!!! ФІНАНСОВИЙ ПЛАН 2023 !!!'!H80</f>
        <v>16629651.004183017</v>
      </c>
      <c r="D2" s="1226">
        <f ca="1">'!!! ФІНАНСОВИЙ ПЛАН 2023 !!!'!I80</f>
        <v>15238815.910583468</v>
      </c>
      <c r="E2" s="1226">
        <f ca="1">'!!! ФІНАНСОВИЙ ПЛАН 2023 !!!'!J80</f>
        <v>14687979.125063557</v>
      </c>
      <c r="F2" s="1226">
        <f ca="1">'!!! ФІНАНСОВИЙ ПЛАН 2023 !!!'!K80</f>
        <v>15794131.104065761</v>
      </c>
      <c r="G2" s="1226">
        <f ca="1">'!!! ФІНАНСОВИЙ ПЛАН 2023 !!!'!G80</f>
        <v>62350577.143895805</v>
      </c>
      <c r="H2" s="1226"/>
      <c r="I2" s="1226"/>
      <c r="J2" s="79"/>
      <c r="K2" s="79"/>
      <c r="L2" s="84"/>
      <c r="M2" s="84"/>
      <c r="N2" s="84"/>
      <c r="U2" s="79"/>
      <c r="Z2" s="79"/>
      <c r="AE2" s="79"/>
      <c r="AJ2" s="79"/>
      <c r="AO2" s="79"/>
      <c r="AT2" s="79"/>
      <c r="AY2" s="79"/>
    </row>
    <row r="3" spans="1:51" s="18" customFormat="1" ht="43.5" customHeight="1">
      <c r="A3" s="17"/>
      <c r="B3" s="88"/>
      <c r="C3" s="1619" t="s">
        <v>2142</v>
      </c>
      <c r="D3" s="1620"/>
      <c r="E3" s="1620"/>
      <c r="F3" s="1620"/>
      <c r="G3" s="1620"/>
      <c r="H3" s="1228"/>
      <c r="I3" s="1228"/>
      <c r="J3" s="1228"/>
      <c r="K3" s="1228"/>
      <c r="L3" s="89"/>
      <c r="M3" s="89"/>
      <c r="N3" s="89"/>
      <c r="O3" s="17"/>
      <c r="P3" s="8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 s="18" customFormat="1" ht="23.25">
      <c r="A4" s="17"/>
      <c r="B4" s="88"/>
      <c r="C4" s="1617">
        <v>2023</v>
      </c>
      <c r="D4" s="1617"/>
      <c r="E4" s="1618"/>
      <c r="F4" s="1618"/>
      <c r="G4" s="1618"/>
      <c r="H4" s="1618"/>
      <c r="I4" s="1618"/>
      <c r="J4" s="1618"/>
      <c r="K4" s="1618"/>
      <c r="L4" s="1618"/>
      <c r="M4" s="1618"/>
      <c r="N4" s="1618"/>
      <c r="O4" s="17"/>
      <c r="P4" s="8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84" customHeight="1">
      <c r="B5" s="467" t="str">
        <f ca="1">Доходи!B3:C3</f>
        <v>Показник</v>
      </c>
      <c r="C5" s="467" t="str">
        <f ca="1">Доходи!D3</f>
        <v xml:space="preserve">І квартал </v>
      </c>
      <c r="D5" s="467" t="str">
        <f ca="1">Доходи!E3</f>
        <v xml:space="preserve">ІІ квартал </v>
      </c>
      <c r="E5" s="467" t="str">
        <f ca="1">Доходи!F3</f>
        <v xml:space="preserve">ІІІ квартал </v>
      </c>
      <c r="F5" s="467" t="str">
        <f ca="1">Доходи!G3</f>
        <v xml:space="preserve">IV квартал </v>
      </c>
      <c r="G5" s="467" t="str">
        <f ca="1">Доходи!H3</f>
        <v xml:space="preserve">Всього </v>
      </c>
      <c r="H5" s="467"/>
      <c r="I5" s="467"/>
      <c r="J5" s="1235">
        <v>2022</v>
      </c>
      <c r="K5" s="1235" t="s">
        <v>157</v>
      </c>
    </row>
    <row r="6" spans="1:51" ht="56.25">
      <c r="B6" s="464" t="str">
        <f ca="1">Доходи!B4:C4</f>
        <v>Надходження надавача від медичного обслуговування населення за програмою медичних гарантій, грн.</v>
      </c>
      <c r="C6" s="468">
        <f ca="1">Доходи!D4</f>
        <v>13999680.530000001</v>
      </c>
      <c r="D6" s="468">
        <f ca="1">Доходи!E4</f>
        <v>14105728.220000001</v>
      </c>
      <c r="E6" s="468">
        <f ca="1">Доходи!F4</f>
        <v>13852671.02</v>
      </c>
      <c r="F6" s="468">
        <f ca="1">Доходи!G4</f>
        <v>13373959.060000001</v>
      </c>
      <c r="G6" s="468">
        <f ca="1">Доходи!H4</f>
        <v>55332038.829999998</v>
      </c>
      <c r="H6" s="468"/>
      <c r="I6" s="468"/>
      <c r="J6" s="472">
        <f>'[36]ДОХІД-ВИТРАТИ'!$P$11</f>
        <v>41110190.379999995</v>
      </c>
      <c r="K6" s="472">
        <f>J6-G6</f>
        <v>-14221848.450000003</v>
      </c>
    </row>
    <row r="7" spans="1:51" ht="18.75">
      <c r="B7" s="464" t="s">
        <v>158</v>
      </c>
      <c r="C7" s="468">
        <f ca="1">Доходи!D23</f>
        <v>2272670.4741830165</v>
      </c>
      <c r="D7" s="468">
        <f ca="1">Доходи!E23</f>
        <v>775787.69058346737</v>
      </c>
      <c r="E7" s="468">
        <f ca="1">Доходи!F23</f>
        <v>478008.10506355757</v>
      </c>
      <c r="F7" s="468">
        <f ca="1">Доходи!G23</f>
        <v>2062872.0440657611</v>
      </c>
      <c r="G7" s="468">
        <f ca="1">Доходи!H23</f>
        <v>5589338.3138958029</v>
      </c>
      <c r="H7" s="468"/>
      <c r="I7" s="468"/>
      <c r="J7" s="472">
        <f>'[36]М-Б'!$H$5</f>
        <v>3785526.3200000003</v>
      </c>
      <c r="K7" s="472">
        <f>J7-G7</f>
        <v>-1803811.9938958026</v>
      </c>
    </row>
    <row r="8" spans="1:51" ht="18.75">
      <c r="B8" s="464" t="str">
        <f ca="1">Доходи!B18:C18</f>
        <v>Інші надходження/доходи надавача МД, грн.</v>
      </c>
      <c r="C8" s="468">
        <f ca="1">Доходи!D34-Доходи!D23</f>
        <v>357300</v>
      </c>
      <c r="D8" s="468">
        <f ca="1">Доходи!E34-Доходи!E23</f>
        <v>357300.00000000012</v>
      </c>
      <c r="E8" s="468">
        <f ca="1">Доходи!F34-Доходи!F23</f>
        <v>357300.00000000006</v>
      </c>
      <c r="F8" s="468">
        <f ca="1">Доходи!G34-Доходи!G23</f>
        <v>357300.00000000023</v>
      </c>
      <c r="G8" s="468">
        <f ca="1">Доходи!H34-Доходи!H23</f>
        <v>1429200</v>
      </c>
      <c r="H8" s="468"/>
      <c r="I8" s="468"/>
      <c r="J8" s="472">
        <f>[36]ПОСЛУГИ!$F$33</f>
        <v>1035598.9299999999</v>
      </c>
      <c r="K8" s="472">
        <f>J8-G8</f>
        <v>-393601.07000000007</v>
      </c>
    </row>
    <row r="9" spans="1:51" s="40" customFormat="1" ht="18.75">
      <c r="B9" s="471" t="str">
        <f ca="1">Доходи!B19:C19</f>
        <v>ВСЬОГО ДОХОДІВ надавача , грн.</v>
      </c>
      <c r="C9" s="472">
        <f ca="1">SUM(C6:C8)</f>
        <v>16629651.004183017</v>
      </c>
      <c r="D9" s="472">
        <f t="shared" ref="D9:K9" si="0">SUM(D6:D8)</f>
        <v>15238815.910583468</v>
      </c>
      <c r="E9" s="472">
        <f t="shared" si="0"/>
        <v>14687979.125063557</v>
      </c>
      <c r="F9" s="472">
        <f t="shared" si="0"/>
        <v>15794131.104065761</v>
      </c>
      <c r="G9" s="472">
        <f t="shared" si="0"/>
        <v>62350577.143895805</v>
      </c>
      <c r="H9" s="472"/>
      <c r="I9" s="472"/>
      <c r="J9" s="472">
        <f t="shared" si="0"/>
        <v>45931315.629999995</v>
      </c>
      <c r="K9" s="472">
        <f t="shared" si="0"/>
        <v>-16419261.513895806</v>
      </c>
      <c r="L9" s="85"/>
      <c r="M9" s="85"/>
      <c r="N9" s="85"/>
    </row>
    <row r="10" spans="1:51" ht="19.5" customHeight="1">
      <c r="B10" s="39"/>
      <c r="C10" s="39"/>
      <c r="D10" s="39"/>
      <c r="E10" s="39"/>
      <c r="F10" s="39"/>
      <c r="G10" s="39"/>
      <c r="H10" s="39"/>
      <c r="I10" s="39"/>
      <c r="J10" s="42"/>
      <c r="K10" s="42"/>
    </row>
    <row r="11" spans="1:51" s="35" customFormat="1" ht="87.75" customHeight="1">
      <c r="B11" s="467" t="s">
        <v>1903</v>
      </c>
      <c r="C11" s="467" t="s">
        <v>2080</v>
      </c>
      <c r="D11" s="467" t="s">
        <v>2081</v>
      </c>
      <c r="E11" s="467" t="s">
        <v>2082</v>
      </c>
      <c r="F11" s="467" t="s">
        <v>2083</v>
      </c>
      <c r="G11" s="467" t="s">
        <v>2137</v>
      </c>
      <c r="H11" s="467"/>
      <c r="I11" s="467"/>
      <c r="J11" s="1235">
        <v>2022</v>
      </c>
      <c r="K11" s="1235" t="s">
        <v>157</v>
      </c>
      <c r="N11" s="966">
        <f>SUM(N12:N13)</f>
        <v>45117708.750187472</v>
      </c>
      <c r="O11" s="966">
        <f>SUM(O12:O13)</f>
        <v>3759809.0625156225</v>
      </c>
    </row>
    <row r="12" spans="1:51" s="35" customFormat="1" ht="18.75">
      <c r="B12" s="469" t="s">
        <v>1943</v>
      </c>
      <c r="C12" s="470">
        <f ca="1">'!!! ФІНАНСОВИЙ ПЛАН 2023 !!!'!H52+'!!! ФІНАНСОВИЙ ПЛАН 2023 !!!'!H55</f>
        <v>9389450.8988460358</v>
      </c>
      <c r="D12" s="470">
        <f ca="1">'!!! ФІНАНСОВИЙ ПЛАН 2023 !!!'!I52+'!!! ФІНАНСОВИЙ ПЛАН 2023 !!!'!I55</f>
        <v>9194734.7773368061</v>
      </c>
      <c r="E12" s="470">
        <f ca="1">'!!! ФІНАНСОВИЙ ПЛАН 2023 !!!'!J52+'!!! ФІНАНСОВИЙ ПЛАН 2023 !!!'!J55</f>
        <v>9168080.6371353772</v>
      </c>
      <c r="F12" s="470">
        <f ca="1">'!!! ФІНАНСОВИЙ ПЛАН 2023 !!!'!K52+'!!! ФІНАНСОВИЙ ПЛАН 2023 !!!'!K55</f>
        <v>9381650.3535027411</v>
      </c>
      <c r="G12" s="470">
        <f ca="1">SUM(C12:F12)</f>
        <v>37133916.666820966</v>
      </c>
      <c r="H12" s="470">
        <f ca="1">'!!! ФІНАНСОВИЙ ПЛАН 2023 !!!'!G52+'!!! ФІНАНСОВИЙ ПЛАН 2023 !!!'!G55</f>
        <v>37133916.666820958</v>
      </c>
      <c r="I12" s="470">
        <f>H12-G12</f>
        <v>0</v>
      </c>
      <c r="J12" s="473">
        <f>'[36]ВИТРАТИ ВСІ'!$O$4</f>
        <v>32651038.690000001</v>
      </c>
      <c r="K12" s="473">
        <f t="shared" ref="K12:K22" si="1">J12-G12</f>
        <v>-4482877.9768209644</v>
      </c>
      <c r="L12" s="1243"/>
      <c r="M12" s="1243"/>
      <c r="N12" s="966">
        <f>G12</f>
        <v>37133916.666820966</v>
      </c>
      <c r="O12" s="966">
        <f>G12/12</f>
        <v>3094493.0555684138</v>
      </c>
    </row>
    <row r="13" spans="1:51" s="35" customFormat="1" ht="18.75">
      <c r="B13" s="469" t="s">
        <v>1944</v>
      </c>
      <c r="C13" s="470">
        <f ca="1">'!!! ФІНАНСОВИЙ ПЛАН 2023 !!!'!H53+'!!! ФІНАНСОВИЙ ПЛАН 2023 !!!'!H56</f>
        <v>2018731.9432518978</v>
      </c>
      <c r="D13" s="470">
        <f ca="1">'!!! ФІНАНСОВИЙ ПЛАН 2023 !!!'!I53+'!!! ФІНАНСОВИЙ ПЛАН 2023 !!!'!I56</f>
        <v>1976867.9771274133</v>
      </c>
      <c r="E13" s="470">
        <f ca="1">'!!! ФІНАНСОВИЙ ПЛАН 2023 !!!'!J53+'!!! ФІНАНСОВИЙ ПЛАН 2023 !!!'!J56</f>
        <v>1971137.3369841063</v>
      </c>
      <c r="F13" s="470">
        <f ca="1">'!!! ФІНАНСОВИЙ ПЛАН 2023 !!!'!K53+'!!! ФІНАНСОВИЙ ПЛАН 2023 !!!'!K56</f>
        <v>2017054.8260030891</v>
      </c>
      <c r="G13" s="470">
        <f t="shared" ref="G13:G19" si="2">SUM(C13:F13)</f>
        <v>7983792.0833665058</v>
      </c>
      <c r="H13" s="470">
        <f ca="1">'!!! ФІНАНСОВИЙ ПЛАН 2023 !!!'!G53+'!!! ФІНАНСОВИЙ ПЛАН 2023 !!!'!G56</f>
        <v>7983792.0833665058</v>
      </c>
      <c r="I13" s="470">
        <f t="shared" ref="I13:I22" si="3">H13-G13</f>
        <v>0</v>
      </c>
      <c r="J13" s="473">
        <f>'[36]ВИТРАТИ ВСІ'!$O$5</f>
        <v>6899969.9600000018</v>
      </c>
      <c r="K13" s="473">
        <f t="shared" si="1"/>
        <v>-1083822.123366504</v>
      </c>
      <c r="L13" s="1243"/>
      <c r="M13" s="1243"/>
      <c r="N13" s="966">
        <f>G13</f>
        <v>7983792.0833665058</v>
      </c>
      <c r="O13" s="966">
        <f>G13/12</f>
        <v>665316.00694720878</v>
      </c>
    </row>
    <row r="14" spans="1:51" s="35" customFormat="1" ht="18.75">
      <c r="B14" s="469" t="s">
        <v>162</v>
      </c>
      <c r="C14" s="470">
        <f ca="1">'!!! ФІНАНСОВИЙ ПЛАН 2023 !!!'!H58</f>
        <v>1215501.3355749999</v>
      </c>
      <c r="D14" s="470">
        <f ca="1">'!!! ФІНАНСОВИЙ ПЛАН 2023 !!!'!I58</f>
        <v>1215501.3355749999</v>
      </c>
      <c r="E14" s="470">
        <f ca="1">'!!! ФІНАНСОВИЙ ПЛАН 2023 !!!'!J58</f>
        <v>1215501.3355749999</v>
      </c>
      <c r="F14" s="470">
        <f ca="1">'!!! ФІНАНСОВИЙ ПЛАН 2023 !!!'!K58</f>
        <v>1215501.3355749999</v>
      </c>
      <c r="G14" s="470">
        <f t="shared" si="2"/>
        <v>4862005.3422999997</v>
      </c>
      <c r="H14" s="470">
        <f ca="1">'!!! ФІНАНСОВИЙ ПЛАН 2023 !!!'!G58</f>
        <v>4862005.3422999997</v>
      </c>
      <c r="I14" s="470">
        <f t="shared" si="3"/>
        <v>0</v>
      </c>
      <c r="J14" s="473">
        <f>'[36]ВИТРАТИ ВСІ'!$O$8</f>
        <v>2031941.86</v>
      </c>
      <c r="K14" s="473">
        <f t="shared" si="1"/>
        <v>-2830063.4822999993</v>
      </c>
      <c r="L14" s="1244"/>
      <c r="M14" s="1243"/>
      <c r="N14" s="83"/>
    </row>
    <row r="15" spans="1:51" s="1434" customFormat="1" ht="18.75">
      <c r="B15" s="1433" t="s">
        <v>1946</v>
      </c>
      <c r="C15" s="1435">
        <f ca="1">'!!! ФІНАНСОВИЙ ПЛАН 2023 !!!'!H59</f>
        <v>248581.5</v>
      </c>
      <c r="D15" s="1435">
        <f ca="1">'!!! ФІНАНСОВИЙ ПЛАН 2023 !!!'!I59</f>
        <v>248581.5</v>
      </c>
      <c r="E15" s="1435">
        <f ca="1">'!!! ФІНАНСОВИЙ ПЛАН 2023 !!!'!J59</f>
        <v>248581.5</v>
      </c>
      <c r="F15" s="1435">
        <f ca="1">'!!! ФІНАНСОВИЙ ПЛАН 2023 !!!'!K59</f>
        <v>248581.5</v>
      </c>
      <c r="G15" s="1435">
        <f t="shared" si="2"/>
        <v>994326</v>
      </c>
      <c r="H15" s="1435">
        <f ca="1">'!!! ФІНАНСОВИЙ ПЛАН 2023 !!!'!G59</f>
        <v>994326</v>
      </c>
      <c r="I15" s="470">
        <f t="shared" si="3"/>
        <v>0</v>
      </c>
      <c r="J15" s="1436">
        <f>'[36]ВИТРАТИ ВСІ'!$O$17</f>
        <v>453340.32999999996</v>
      </c>
      <c r="K15" s="1436">
        <f t="shared" si="1"/>
        <v>-540985.67000000004</v>
      </c>
      <c r="L15" s="1437"/>
      <c r="M15" s="1438"/>
      <c r="N15" s="1439"/>
    </row>
    <row r="16" spans="1:51" s="1434" customFormat="1" ht="18.75">
      <c r="B16" s="1433" t="s">
        <v>152</v>
      </c>
      <c r="C16" s="1435">
        <f ca="1">'!!! ФІНАНСОВИЙ ПЛАН 2023 !!!'!H60+'!!! ФІНАНСОВИЙ ПЛАН 2023 !!!'!H77</f>
        <v>318800.25</v>
      </c>
      <c r="D16" s="1435">
        <f ca="1">'!!! ФІНАНСОВИЙ ПЛАН 2023 !!!'!I60+'!!! ФІНАНСОВИЙ ПЛАН 2023 !!!'!I77</f>
        <v>333043.92000000004</v>
      </c>
      <c r="E16" s="1435">
        <f ca="1">'!!! ФІНАНСОВИЙ ПЛАН 2023 !!!'!J60+'!!! ФІНАНСОВИЙ ПЛАН 2023 !!!'!J77</f>
        <v>344694.72</v>
      </c>
      <c r="F16" s="1435">
        <f ca="1">'!!! ФІНАНСОВИЙ ПЛАН 2023 !!!'!K60+'!!! ФІНАНСОВИЙ ПЛАН 2023 !!!'!K77</f>
        <v>247454.77</v>
      </c>
      <c r="G16" s="1435">
        <f t="shared" si="2"/>
        <v>1243993.6599999999</v>
      </c>
      <c r="H16" s="1435">
        <f ca="1">'!!! ФІНАНСОВИЙ ПЛАН 2023 !!!'!G60+'!!! ФІНАНСОВИЙ ПЛАН 2023 !!!'!G76</f>
        <v>1243993.6599999999</v>
      </c>
      <c r="I16" s="470">
        <f t="shared" si="3"/>
        <v>0</v>
      </c>
      <c r="J16" s="1436">
        <f>'[36]ВИТРАТИ ВСІ'!$O$32-J18</f>
        <v>993216.74</v>
      </c>
      <c r="K16" s="1436">
        <f t="shared" si="1"/>
        <v>-250776.91999999993</v>
      </c>
      <c r="L16" s="1437"/>
      <c r="M16" s="1438"/>
      <c r="N16" s="1439"/>
    </row>
    <row r="17" spans="2:16" s="1434" customFormat="1" ht="18.75">
      <c r="B17" s="1520" t="s">
        <v>1574</v>
      </c>
      <c r="C17" s="1521">
        <f ca="1">Деталізація!O25</f>
        <v>50000</v>
      </c>
      <c r="D17" s="1521">
        <f ca="1">Деталізація!P25</f>
        <v>70000</v>
      </c>
      <c r="E17" s="1521">
        <f ca="1">Деталізація!Q25</f>
        <v>90750</v>
      </c>
      <c r="F17" s="1521">
        <f ca="1">Деталізація!R25</f>
        <v>0</v>
      </c>
      <c r="G17" s="1521">
        <f t="shared" si="2"/>
        <v>210750</v>
      </c>
      <c r="H17" s="1435"/>
      <c r="I17" s="470"/>
      <c r="J17" s="1436">
        <f>'[36]ВИТРАТИ ВСІ'!$O$24</f>
        <v>804745.31</v>
      </c>
      <c r="K17" s="1436">
        <f t="shared" si="1"/>
        <v>593995.31000000006</v>
      </c>
      <c r="L17" s="1437"/>
      <c r="M17" s="1438"/>
      <c r="N17" s="1439"/>
    </row>
    <row r="18" spans="2:16" s="1434" customFormat="1" ht="18.75">
      <c r="B18" s="1433" t="s">
        <v>1948</v>
      </c>
      <c r="C18" s="1435">
        <f ca="1">'!!! ФІНАНСОВИЙ ПЛАН 2023 !!!'!H61</f>
        <v>10000</v>
      </c>
      <c r="D18" s="1435">
        <f ca="1">'!!! ФІНАНСОВИЙ ПЛАН 2023 !!!'!I61</f>
        <v>0</v>
      </c>
      <c r="E18" s="1435">
        <f ca="1">'!!! ФІНАНСОВИЙ ПЛАН 2023 !!!'!J61</f>
        <v>0</v>
      </c>
      <c r="F18" s="1435">
        <f ca="1">'!!! ФІНАНСОВИЙ ПЛАН 2023 !!!'!K61</f>
        <v>0</v>
      </c>
      <c r="G18" s="1435">
        <f t="shared" si="2"/>
        <v>10000</v>
      </c>
      <c r="H18" s="1435">
        <f ca="1">'!!! ФІНАНСОВИЙ ПЛАН 2023 !!!'!G61</f>
        <v>10000</v>
      </c>
      <c r="I18" s="470">
        <f t="shared" si="3"/>
        <v>0</v>
      </c>
      <c r="J18" s="1436">
        <f>'[36]ВИТРАТИ ВСІ'!$O$33</f>
        <v>2373.04</v>
      </c>
      <c r="K18" s="1436">
        <f t="shared" si="1"/>
        <v>-7626.96</v>
      </c>
      <c r="L18" s="1439"/>
      <c r="M18" s="1438"/>
      <c r="N18" s="1439"/>
    </row>
    <row r="19" spans="2:16" s="1434" customFormat="1" ht="18.75">
      <c r="B19" s="1433" t="s">
        <v>2139</v>
      </c>
      <c r="C19" s="1435">
        <f ca="1">'!!! ФІНАНСОВИЙ ПЛАН 2023 !!!'!H62</f>
        <v>2553795.0802197801</v>
      </c>
      <c r="D19" s="1435">
        <f ca="1">'!!! ФІНАНСОВИЙ ПЛАН 2023 !!!'!I62</f>
        <v>876362.39670329669</v>
      </c>
      <c r="E19" s="1435">
        <f ca="1">'!!! ФІНАНСОВИЙ ПЛАН 2023 !!!'!J62</f>
        <v>542690.6</v>
      </c>
      <c r="F19" s="1435">
        <f ca="1">'!!! ФІНАНСОВИЙ ПЛАН 2023 !!!'!K62</f>
        <v>2319473.3230769234</v>
      </c>
      <c r="G19" s="1435">
        <f t="shared" si="2"/>
        <v>6292321.4000000004</v>
      </c>
      <c r="H19" s="1435">
        <f ca="1">'!!! ФІНАНСОВИЙ ПЛАН 2023 !!!'!G62</f>
        <v>6292321.4000000004</v>
      </c>
      <c r="I19" s="470">
        <f t="shared" si="3"/>
        <v>0</v>
      </c>
      <c r="J19" s="1436">
        <f>'[36]ВИТРАТИ ВСІ'!$O$21</f>
        <v>4101964.3699999992</v>
      </c>
      <c r="K19" s="1436">
        <f t="shared" si="1"/>
        <v>-2190357.0300000012</v>
      </c>
      <c r="L19" s="1439"/>
      <c r="M19" s="1438"/>
      <c r="N19" s="1439"/>
    </row>
    <row r="20" spans="2:16" s="35" customFormat="1" ht="18.75">
      <c r="B20" s="469" t="s">
        <v>1952</v>
      </c>
      <c r="C20" s="470">
        <f ca="1">'!!! ФІНАНСОВИЙ ПЛАН 2023 !!!'!H70</f>
        <v>18000</v>
      </c>
      <c r="D20" s="470">
        <f ca="1">'!!! ФІНАНСОВИЙ ПЛАН 2023 !!!'!I70</f>
        <v>18000</v>
      </c>
      <c r="E20" s="470">
        <f ca="1">'!!! ФІНАНСОВИЙ ПЛАН 2023 !!!'!J70</f>
        <v>18000</v>
      </c>
      <c r="F20" s="470">
        <f ca="1">'!!! ФІНАНСОВИЙ ПЛАН 2023 !!!'!K70</f>
        <v>18000</v>
      </c>
      <c r="G20" s="470">
        <f ca="1">SUM(C20:F20)</f>
        <v>72000</v>
      </c>
      <c r="H20" s="470">
        <f ca="1">'!!! ФІНАНСОВИЙ ПЛАН 2023 !!!'!G70</f>
        <v>72000</v>
      </c>
      <c r="I20" s="470">
        <f t="shared" si="3"/>
        <v>0</v>
      </c>
      <c r="J20" s="473">
        <f>'[36]ВИТРАТИ ВСІ'!$O$6</f>
        <v>55496.760000000009</v>
      </c>
      <c r="K20" s="473">
        <f t="shared" si="1"/>
        <v>-16503.239999999991</v>
      </c>
      <c r="L20" s="83"/>
      <c r="M20" s="1243"/>
      <c r="N20" s="83"/>
    </row>
    <row r="21" spans="2:16" s="35" customFormat="1" ht="18.75">
      <c r="B21" s="469" t="s">
        <v>1953</v>
      </c>
      <c r="C21" s="470">
        <f ca="1">'!!! ФІНАНСОВИЙ ПЛАН 2023 !!!'!H71+'!!! ФІНАНСОВИЙ ПЛАН 2023 !!!'!H57</f>
        <v>319790</v>
      </c>
      <c r="D21" s="470">
        <f ca="1">'!!! ФІНАНСОВИЙ ПЛАН 2023 !!!'!I71+'!!! ФІНАНСОВИЙ ПЛАН 2023 !!!'!I57</f>
        <v>295724</v>
      </c>
      <c r="E21" s="470">
        <f ca="1">'!!! ФІНАНСОВИЙ ПЛАН 2023 !!!'!J71+'!!! ФІНАНСОВИЙ ПЛАН 2023 !!!'!J57</f>
        <v>339293</v>
      </c>
      <c r="F21" s="470">
        <f ca="1">'!!! ФІНАНСОВИЙ ПЛАН 2023 !!!'!K71+'!!! ФІНАНСОВИЙ ПЛАН 2023 !!!'!K57</f>
        <v>306415</v>
      </c>
      <c r="G21" s="470">
        <f ca="1">SUM(C21:F21)</f>
        <v>1261222</v>
      </c>
      <c r="H21" s="470">
        <f ca="1">'!!! ФІНАНСОВИЙ ПЛАН 2023 !!!'!G71+'!!! ФІНАНСОВИЙ ПЛАН 2023 !!!'!G57</f>
        <v>1261222</v>
      </c>
      <c r="I21" s="470">
        <f t="shared" si="3"/>
        <v>0</v>
      </c>
      <c r="J21" s="473">
        <f>'[36]ВИТРАТИ ВСІ'!$O$16+'[36]ВИТРАТИ ВСІ'!$O$18+'[36]ВИТРАТИ ВСІ'!$O$19+'[36]ВИТРАТИ ВСІ'!$O$20+'[36]ВИТРАТИ ВСІ'!$O$22+'[36]ВИТРАТИ ВСІ'!$O$23</f>
        <v>991864.49</v>
      </c>
      <c r="K21" s="473">
        <f t="shared" si="1"/>
        <v>-269357.51</v>
      </c>
      <c r="L21" s="83"/>
      <c r="M21" s="1243"/>
      <c r="N21" s="83"/>
    </row>
    <row r="22" spans="2:16" s="35" customFormat="1" ht="18.75">
      <c r="B22" s="469" t="s">
        <v>2140</v>
      </c>
      <c r="C22" s="470">
        <f ca="1">'!!! ФІНАНСОВИЙ ПЛАН 2023 !!!'!H72</f>
        <v>537000</v>
      </c>
      <c r="D22" s="470">
        <f ca="1">'!!! ФІНАНСОВИЙ ПЛАН 2023 !!!'!I72</f>
        <v>1080000</v>
      </c>
      <c r="E22" s="470">
        <f ca="1">'!!! ФІНАНСОВИЙ ПЛАН 2023 !!!'!J72</f>
        <v>840000</v>
      </c>
      <c r="F22" s="470">
        <f ca="1">'!!! ФІНАНСОВИЙ ПЛАН 2023 !!!'!K72</f>
        <v>40000</v>
      </c>
      <c r="G22" s="470">
        <f ca="1">SUM(C22:F22)</f>
        <v>2497000</v>
      </c>
      <c r="H22" s="470">
        <f ca="1">'!!! ФІНАНСОВИЙ ПЛАН 2023 !!!'!G72</f>
        <v>2497000</v>
      </c>
      <c r="I22" s="470">
        <f t="shared" si="3"/>
        <v>0</v>
      </c>
      <c r="J22" s="473">
        <f>'[36]ВИТРАТИ ВСІ'!$O$54+'[36]ВИТРАТИ ВСІ'!$O$59</f>
        <v>1274501.3400000001</v>
      </c>
      <c r="K22" s="473">
        <f t="shared" si="1"/>
        <v>-1222498.6599999999</v>
      </c>
      <c r="L22" s="83"/>
      <c r="M22" s="1243"/>
      <c r="N22" s="83"/>
    </row>
    <row r="23" spans="2:16" s="43" customFormat="1" ht="18.75">
      <c r="B23" s="471" t="s">
        <v>2135</v>
      </c>
      <c r="C23" s="473">
        <f t="shared" ref="C23:H23" si="4">SUM(C12:C22)-C17</f>
        <v>16629651.007892713</v>
      </c>
      <c r="D23" s="473">
        <f t="shared" si="4"/>
        <v>15238815.906742517</v>
      </c>
      <c r="E23" s="473">
        <f t="shared" si="4"/>
        <v>14687979.129694484</v>
      </c>
      <c r="F23" s="473">
        <f t="shared" si="4"/>
        <v>15794131.108157754</v>
      </c>
      <c r="G23" s="473">
        <f t="shared" si="4"/>
        <v>62350577.152487464</v>
      </c>
      <c r="H23" s="473">
        <f t="shared" si="4"/>
        <v>62350577.152487457</v>
      </c>
      <c r="I23" s="473">
        <f>SUM(I12:I22)</f>
        <v>0</v>
      </c>
      <c r="J23" s="473">
        <f>SUM(J12:J22)</f>
        <v>50260452.890000008</v>
      </c>
      <c r="K23" s="473">
        <f>SUM(K12:K22)</f>
        <v>-12300874.262487469</v>
      </c>
      <c r="L23" s="83"/>
      <c r="M23" s="83"/>
      <c r="N23" s="83"/>
    </row>
    <row r="24" spans="2:16" s="43" customFormat="1" ht="18.75">
      <c r="B24" s="466" t="s">
        <v>2135</v>
      </c>
      <c r="C24" s="1236">
        <f ca="1">'!!! ФІНАНСОВИЙ ПЛАН 2023 !!!'!H81</f>
        <v>16629651.007892715</v>
      </c>
      <c r="D24" s="1236">
        <f ca="1">'!!! ФІНАНСОВИЙ ПЛАН 2023 !!!'!I81</f>
        <v>15238815.906742517</v>
      </c>
      <c r="E24" s="1236">
        <f ca="1">'!!! ФІНАНСОВИЙ ПЛАН 2023 !!!'!J81</f>
        <v>14687979.129694484</v>
      </c>
      <c r="F24" s="1236">
        <f ca="1">'!!! ФІНАНСОВИЙ ПЛАН 2023 !!!'!K81</f>
        <v>15794131.108157754</v>
      </c>
      <c r="G24" s="1236">
        <f ca="1">SUM(C24:F24)</f>
        <v>62350577.152487472</v>
      </c>
      <c r="H24" s="66"/>
      <c r="I24" s="66"/>
      <c r="J24" s="1236">
        <f>'[36]ВИТРАТИ ВСІ'!$O$2</f>
        <v>50260452.890000001</v>
      </c>
      <c r="K24" s="1236"/>
      <c r="L24" s="83"/>
      <c r="M24" s="83"/>
      <c r="N24" s="83"/>
      <c r="P24" s="35"/>
    </row>
    <row r="25" spans="2:16">
      <c r="C25" s="1515">
        <f>C23-C24</f>
        <v>0</v>
      </c>
      <c r="D25" s="1515">
        <f>D23-D24</f>
        <v>0</v>
      </c>
      <c r="E25" s="1515">
        <f>E23-E24</f>
        <v>0</v>
      </c>
      <c r="F25" s="1515">
        <f>F23-F24</f>
        <v>0</v>
      </c>
      <c r="G25" s="1515">
        <f>G23-G24</f>
        <v>0</v>
      </c>
      <c r="H25" s="86"/>
      <c r="I25" s="86"/>
      <c r="J25" s="1237">
        <f>J23-J24</f>
        <v>0</v>
      </c>
      <c r="K25" s="1237">
        <f>K9-K23</f>
        <v>-4118387.2514083367</v>
      </c>
    </row>
    <row r="26" spans="2:16">
      <c r="C26" s="1344"/>
      <c r="D26" s="1344"/>
      <c r="E26" s="1344"/>
      <c r="F26" s="1344"/>
      <c r="G26" s="1344"/>
      <c r="H26" s="1344"/>
      <c r="I26" s="1344"/>
    </row>
    <row r="30" spans="2:16">
      <c r="C30" s="86"/>
      <c r="D30" s="86"/>
      <c r="E30" s="86"/>
      <c r="F30" s="86"/>
      <c r="G30" s="86"/>
      <c r="H30" s="86"/>
      <c r="I30" s="86"/>
      <c r="J30" s="1237"/>
      <c r="K30" s="1237"/>
    </row>
    <row r="31" spans="2:16">
      <c r="C31" s="86"/>
      <c r="D31" s="86"/>
      <c r="E31" s="86"/>
      <c r="F31" s="86"/>
    </row>
  </sheetData>
  <mergeCells count="2">
    <mergeCell ref="C4:N4"/>
    <mergeCell ref="C3:G3"/>
  </mergeCells>
  <phoneticPr fontId="0" type="noConversion"/>
  <pageMargins left="0" right="0" top="0" bottom="0" header="0" footer="0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view="pageBreakPreview" zoomScale="45" zoomScaleNormal="100" zoomScaleSheetLayoutView="45" workbookViewId="0">
      <selection activeCell="T10" sqref="T10"/>
    </sheetView>
  </sheetViews>
  <sheetFormatPr defaultRowHeight="27.75"/>
  <cols>
    <col min="1" max="1" width="16.85546875" style="71" customWidth="1"/>
    <col min="2" max="2" width="127.85546875" style="148" customWidth="1"/>
    <col min="3" max="14" width="19.85546875" style="101" bestFit="1" customWidth="1"/>
    <col min="15" max="15" width="22" style="489" bestFit="1" customWidth="1"/>
    <col min="16" max="16" width="21.5703125" style="489" bestFit="1" customWidth="1"/>
    <col min="17" max="18" width="23.140625" style="489" bestFit="1" customWidth="1"/>
    <col min="19" max="19" width="22" style="489" bestFit="1" customWidth="1"/>
    <col min="20" max="20" width="16" style="1105" bestFit="1" customWidth="1"/>
    <col min="21" max="21" width="14.42578125" style="1105" bestFit="1" customWidth="1"/>
    <col min="22" max="22" width="18.28515625" bestFit="1" customWidth="1"/>
  </cols>
  <sheetData>
    <row r="1" spans="1:21" ht="45" customHeight="1">
      <c r="B1" s="1621" t="s">
        <v>617</v>
      </c>
      <c r="C1" s="1621"/>
      <c r="D1" s="1621"/>
      <c r="E1" s="1621"/>
      <c r="F1" s="1621"/>
      <c r="G1" s="1621"/>
      <c r="H1" s="1621"/>
      <c r="I1" s="1621"/>
      <c r="J1" s="1621"/>
      <c r="K1" s="1621"/>
      <c r="L1" s="1621"/>
      <c r="M1" s="1621"/>
      <c r="N1" s="1621"/>
      <c r="O1" s="1621"/>
      <c r="P1" s="1621"/>
      <c r="Q1" s="1621"/>
      <c r="R1" s="1621"/>
    </row>
    <row r="2" spans="1:21" ht="27">
      <c r="B2" s="14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490"/>
      <c r="P2" s="490"/>
      <c r="Q2" s="490"/>
      <c r="R2" s="490"/>
      <c r="S2" s="490"/>
    </row>
    <row r="3" spans="1:21" s="115" customFormat="1" ht="51">
      <c r="A3" s="112" t="s">
        <v>1548</v>
      </c>
      <c r="B3" s="142"/>
      <c r="C3" s="112" t="s">
        <v>1846</v>
      </c>
      <c r="D3" s="112" t="s">
        <v>1847</v>
      </c>
      <c r="E3" s="112" t="s">
        <v>1848</v>
      </c>
      <c r="F3" s="112" t="s">
        <v>1849</v>
      </c>
      <c r="G3" s="112" t="s">
        <v>1850</v>
      </c>
      <c r="H3" s="112" t="s">
        <v>1851</v>
      </c>
      <c r="I3" s="112" t="s">
        <v>1852</v>
      </c>
      <c r="J3" s="112" t="s">
        <v>1853</v>
      </c>
      <c r="K3" s="112" t="s">
        <v>1854</v>
      </c>
      <c r="L3" s="112" t="s">
        <v>1855</v>
      </c>
      <c r="M3" s="112" t="s">
        <v>1856</v>
      </c>
      <c r="N3" s="112" t="s">
        <v>1857</v>
      </c>
      <c r="O3" s="491" t="s">
        <v>1993</v>
      </c>
      <c r="P3" s="491" t="s">
        <v>1994</v>
      </c>
      <c r="Q3" s="491" t="s">
        <v>1995</v>
      </c>
      <c r="R3" s="491" t="s">
        <v>1996</v>
      </c>
      <c r="S3" s="491" t="s">
        <v>1997</v>
      </c>
      <c r="T3" s="1100"/>
      <c r="U3" s="1100"/>
    </row>
    <row r="4" spans="1:21" s="117" customFormat="1" ht="27" customHeight="1">
      <c r="A4" s="104"/>
      <c r="B4" s="103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492"/>
      <c r="P4" s="492"/>
      <c r="Q4" s="492"/>
      <c r="R4" s="492"/>
      <c r="S4" s="492"/>
      <c r="T4" s="1100"/>
      <c r="U4" s="1100"/>
    </row>
    <row r="5" spans="1:21" s="117" customFormat="1" ht="27" customHeight="1">
      <c r="A5" s="106">
        <f ca="1">'штат-розп'!J208</f>
        <v>4</v>
      </c>
      <c r="B5" s="105" t="s">
        <v>1793</v>
      </c>
      <c r="C5" s="118">
        <f ca="1">'штат-розп'!O208</f>
        <v>66606.544896250009</v>
      </c>
      <c r="D5" s="118">
        <f t="shared" ref="D5:H10" si="0">C5</f>
        <v>66606.544896250009</v>
      </c>
      <c r="E5" s="118">
        <f t="shared" si="0"/>
        <v>66606.544896250009</v>
      </c>
      <c r="F5" s="118">
        <f t="shared" si="0"/>
        <v>66606.544896250009</v>
      </c>
      <c r="G5" s="118">
        <f t="shared" si="0"/>
        <v>66606.544896250009</v>
      </c>
      <c r="H5" s="118">
        <f t="shared" si="0"/>
        <v>66606.544896250009</v>
      </c>
      <c r="I5" s="118">
        <f t="shared" ref="I5:I10" si="1">H5</f>
        <v>66606.544896250009</v>
      </c>
      <c r="J5" s="118">
        <f t="shared" ref="J5:K10" si="2">I5</f>
        <v>66606.544896250009</v>
      </c>
      <c r="K5" s="118">
        <f t="shared" si="2"/>
        <v>66606.544896250009</v>
      </c>
      <c r="L5" s="118">
        <f>K5</f>
        <v>66606.544896250009</v>
      </c>
      <c r="M5" s="118">
        <f t="shared" ref="M5:M10" si="3">L5</f>
        <v>66606.544896250009</v>
      </c>
      <c r="N5" s="118">
        <f t="shared" ref="N5:N10" si="4">M5</f>
        <v>66606.544896250009</v>
      </c>
      <c r="O5" s="492">
        <f t="shared" ref="O5:O11" si="5">C5+D5+E5</f>
        <v>199819.63468875003</v>
      </c>
      <c r="P5" s="492">
        <f t="shared" ref="P5:P11" si="6">F5+G5+H5</f>
        <v>199819.63468875003</v>
      </c>
      <c r="Q5" s="492">
        <f t="shared" ref="Q5:Q11" si="7">I5+J5+K5</f>
        <v>199819.63468875003</v>
      </c>
      <c r="R5" s="492">
        <f t="shared" ref="R5:R11" si="8">L5+M5+N5</f>
        <v>199819.63468875003</v>
      </c>
      <c r="S5" s="492">
        <f t="shared" ref="S5:S11" si="9">SUM(O5:R5)</f>
        <v>799278.5387550001</v>
      </c>
      <c r="T5" s="1100"/>
      <c r="U5" s="1100"/>
    </row>
    <row r="6" spans="1:21" s="117" customFormat="1" ht="27" customHeight="1">
      <c r="A6" s="106">
        <f ca="1">'штат-розп'!J209</f>
        <v>13</v>
      </c>
      <c r="B6" s="105" t="s">
        <v>1790</v>
      </c>
      <c r="C6" s="118">
        <f ca="1">'штат-розп'!O209</f>
        <v>136086.882075</v>
      </c>
      <c r="D6" s="118">
        <f t="shared" si="0"/>
        <v>136086.882075</v>
      </c>
      <c r="E6" s="118">
        <f t="shared" si="0"/>
        <v>136086.882075</v>
      </c>
      <c r="F6" s="118">
        <f t="shared" si="0"/>
        <v>136086.882075</v>
      </c>
      <c r="G6" s="118">
        <f t="shared" si="0"/>
        <v>136086.882075</v>
      </c>
      <c r="H6" s="118">
        <f t="shared" si="0"/>
        <v>136086.882075</v>
      </c>
      <c r="I6" s="118">
        <f t="shared" si="1"/>
        <v>136086.882075</v>
      </c>
      <c r="J6" s="118">
        <f t="shared" si="2"/>
        <v>136086.882075</v>
      </c>
      <c r="K6" s="118">
        <f t="shared" si="2"/>
        <v>136086.882075</v>
      </c>
      <c r="L6" s="118">
        <f>K6</f>
        <v>136086.882075</v>
      </c>
      <c r="M6" s="118">
        <f t="shared" si="3"/>
        <v>136086.882075</v>
      </c>
      <c r="N6" s="118">
        <f t="shared" si="4"/>
        <v>136086.882075</v>
      </c>
      <c r="O6" s="492">
        <f t="shared" si="5"/>
        <v>408260.64622500003</v>
      </c>
      <c r="P6" s="492">
        <f t="shared" si="6"/>
        <v>408260.64622500003</v>
      </c>
      <c r="Q6" s="492">
        <f t="shared" si="7"/>
        <v>408260.64622500003</v>
      </c>
      <c r="R6" s="492">
        <f t="shared" si="8"/>
        <v>408260.64622500003</v>
      </c>
      <c r="S6" s="492">
        <f t="shared" si="9"/>
        <v>1633042.5849000001</v>
      </c>
      <c r="T6" s="1100"/>
      <c r="U6" s="1100"/>
    </row>
    <row r="7" spans="1:21" s="117" customFormat="1" ht="27" customHeight="1">
      <c r="A7" s="106">
        <f ca="1">'штат-розп'!J210</f>
        <v>40.75</v>
      </c>
      <c r="B7" s="105" t="s">
        <v>1904</v>
      </c>
      <c r="C7" s="118">
        <f ca="1">'штат-розп'!O210</f>
        <v>344265.92375000002</v>
      </c>
      <c r="D7" s="118">
        <f t="shared" si="0"/>
        <v>344265.92375000002</v>
      </c>
      <c r="E7" s="118">
        <f t="shared" si="0"/>
        <v>344265.92375000002</v>
      </c>
      <c r="F7" s="118">
        <f t="shared" si="0"/>
        <v>344265.92375000002</v>
      </c>
      <c r="G7" s="118">
        <f t="shared" si="0"/>
        <v>344265.92375000002</v>
      </c>
      <c r="H7" s="118">
        <f t="shared" si="0"/>
        <v>344265.92375000002</v>
      </c>
      <c r="I7" s="118">
        <f t="shared" si="1"/>
        <v>344265.92375000002</v>
      </c>
      <c r="J7" s="118">
        <f t="shared" si="2"/>
        <v>344265.92375000002</v>
      </c>
      <c r="K7" s="118">
        <f t="shared" si="2"/>
        <v>344265.92375000002</v>
      </c>
      <c r="L7" s="118">
        <f>K7</f>
        <v>344265.92375000002</v>
      </c>
      <c r="M7" s="118">
        <f t="shared" si="3"/>
        <v>344265.92375000002</v>
      </c>
      <c r="N7" s="118">
        <f t="shared" si="4"/>
        <v>344265.92375000002</v>
      </c>
      <c r="O7" s="492">
        <f t="shared" si="5"/>
        <v>1032797.77125</v>
      </c>
      <c r="P7" s="492">
        <f t="shared" si="6"/>
        <v>1032797.77125</v>
      </c>
      <c r="Q7" s="492">
        <f t="shared" si="7"/>
        <v>1032797.77125</v>
      </c>
      <c r="R7" s="492">
        <f t="shared" si="8"/>
        <v>1032797.77125</v>
      </c>
      <c r="S7" s="492">
        <f t="shared" si="9"/>
        <v>4131191.085</v>
      </c>
      <c r="T7" s="1100"/>
      <c r="U7" s="1100"/>
    </row>
    <row r="8" spans="1:21" s="117" customFormat="1" ht="27" customHeight="1">
      <c r="A8" s="106">
        <f ca="1">'штат-розп'!J211</f>
        <v>98</v>
      </c>
      <c r="B8" s="105" t="s">
        <v>1794</v>
      </c>
      <c r="C8" s="118">
        <f ca="1">'штат-розп'!O211</f>
        <v>684042.59750000015</v>
      </c>
      <c r="D8" s="118">
        <f t="shared" si="0"/>
        <v>684042.59750000015</v>
      </c>
      <c r="E8" s="118">
        <f t="shared" si="0"/>
        <v>684042.59750000015</v>
      </c>
      <c r="F8" s="118">
        <f t="shared" si="0"/>
        <v>684042.59750000015</v>
      </c>
      <c r="G8" s="118">
        <f t="shared" si="0"/>
        <v>684042.59750000015</v>
      </c>
      <c r="H8" s="118">
        <f t="shared" si="0"/>
        <v>684042.59750000015</v>
      </c>
      <c r="I8" s="118">
        <f t="shared" si="1"/>
        <v>684042.59750000015</v>
      </c>
      <c r="J8" s="118">
        <f t="shared" si="2"/>
        <v>684042.59750000015</v>
      </c>
      <c r="K8" s="118">
        <f t="shared" si="2"/>
        <v>684042.59750000015</v>
      </c>
      <c r="L8" s="118">
        <f>K8</f>
        <v>684042.59750000015</v>
      </c>
      <c r="M8" s="118">
        <f t="shared" si="3"/>
        <v>684042.59750000015</v>
      </c>
      <c r="N8" s="118">
        <f t="shared" si="4"/>
        <v>684042.59750000015</v>
      </c>
      <c r="O8" s="492">
        <f t="shared" si="5"/>
        <v>2052127.7925000004</v>
      </c>
      <c r="P8" s="492">
        <f t="shared" si="6"/>
        <v>2052127.7925000004</v>
      </c>
      <c r="Q8" s="492">
        <f t="shared" si="7"/>
        <v>2052127.7925000004</v>
      </c>
      <c r="R8" s="492">
        <f t="shared" si="8"/>
        <v>2052127.7925000004</v>
      </c>
      <c r="S8" s="492">
        <f t="shared" si="9"/>
        <v>8208511.1700000018</v>
      </c>
      <c r="T8" s="1100"/>
      <c r="U8" s="1100"/>
    </row>
    <row r="9" spans="1:21" s="117" customFormat="1" ht="27" customHeight="1">
      <c r="A9" s="106">
        <f ca="1">'штат-розп'!J212</f>
        <v>43</v>
      </c>
      <c r="B9" s="105" t="s">
        <v>1989</v>
      </c>
      <c r="C9" s="118">
        <f ca="1">'штат-розп'!O212</f>
        <v>303396.30000000005</v>
      </c>
      <c r="D9" s="118">
        <f t="shared" si="0"/>
        <v>303396.30000000005</v>
      </c>
      <c r="E9" s="118">
        <f t="shared" si="0"/>
        <v>303396.30000000005</v>
      </c>
      <c r="F9" s="118">
        <f t="shared" si="0"/>
        <v>303396.30000000005</v>
      </c>
      <c r="G9" s="118">
        <f t="shared" si="0"/>
        <v>303396.30000000005</v>
      </c>
      <c r="H9" s="118">
        <f t="shared" si="0"/>
        <v>303396.30000000005</v>
      </c>
      <c r="I9" s="118">
        <f t="shared" si="1"/>
        <v>303396.30000000005</v>
      </c>
      <c r="J9" s="118">
        <f t="shared" si="2"/>
        <v>303396.30000000005</v>
      </c>
      <c r="K9" s="118">
        <f t="shared" si="2"/>
        <v>303396.30000000005</v>
      </c>
      <c r="L9" s="118">
        <f>K9</f>
        <v>303396.30000000005</v>
      </c>
      <c r="M9" s="118">
        <f t="shared" si="3"/>
        <v>303396.30000000005</v>
      </c>
      <c r="N9" s="118">
        <f t="shared" si="4"/>
        <v>303396.30000000005</v>
      </c>
      <c r="O9" s="492">
        <f t="shared" si="5"/>
        <v>910188.90000000014</v>
      </c>
      <c r="P9" s="492">
        <f t="shared" si="6"/>
        <v>910188.90000000014</v>
      </c>
      <c r="Q9" s="492">
        <f t="shared" si="7"/>
        <v>910188.90000000014</v>
      </c>
      <c r="R9" s="492">
        <f t="shared" si="8"/>
        <v>910188.90000000014</v>
      </c>
      <c r="S9" s="492">
        <f t="shared" si="9"/>
        <v>3640755.6000000006</v>
      </c>
      <c r="T9" s="1100"/>
      <c r="U9" s="1100"/>
    </row>
    <row r="10" spans="1:21" s="117" customFormat="1" ht="27" customHeight="1">
      <c r="A10" s="106">
        <f ca="1">'штат-розп'!J213</f>
        <v>42.5</v>
      </c>
      <c r="B10" s="105" t="s">
        <v>1791</v>
      </c>
      <c r="C10" s="118">
        <f ca="1">'штат-розп'!O213</f>
        <v>285907.20000000001</v>
      </c>
      <c r="D10" s="118">
        <f t="shared" si="0"/>
        <v>285907.20000000001</v>
      </c>
      <c r="E10" s="118">
        <f t="shared" si="0"/>
        <v>285907.20000000001</v>
      </c>
      <c r="F10" s="118">
        <f ca="1">'штат-розп'!O213-'штат-розп'!O72-'штат-розп'!O73</f>
        <v>218907.2</v>
      </c>
      <c r="G10" s="118">
        <f>F10</f>
        <v>218907.2</v>
      </c>
      <c r="H10" s="118">
        <f t="shared" si="0"/>
        <v>218907.2</v>
      </c>
      <c r="I10" s="118">
        <f t="shared" si="1"/>
        <v>218907.2</v>
      </c>
      <c r="J10" s="118">
        <f t="shared" si="2"/>
        <v>218907.2</v>
      </c>
      <c r="K10" s="118">
        <f t="shared" si="2"/>
        <v>218907.2</v>
      </c>
      <c r="L10" s="118">
        <f ca="1">'штат-розп'!O213</f>
        <v>285907.20000000001</v>
      </c>
      <c r="M10" s="118">
        <f t="shared" si="3"/>
        <v>285907.20000000001</v>
      </c>
      <c r="N10" s="118">
        <f t="shared" si="4"/>
        <v>285907.20000000001</v>
      </c>
      <c r="O10" s="492">
        <f t="shared" si="5"/>
        <v>857721.60000000009</v>
      </c>
      <c r="P10" s="492">
        <f t="shared" si="6"/>
        <v>656721.60000000009</v>
      </c>
      <c r="Q10" s="492">
        <f t="shared" si="7"/>
        <v>656721.60000000009</v>
      </c>
      <c r="R10" s="492">
        <f t="shared" si="8"/>
        <v>857721.60000000009</v>
      </c>
      <c r="S10" s="492">
        <f t="shared" si="9"/>
        <v>3028886.4000000004</v>
      </c>
      <c r="T10" s="1100"/>
      <c r="U10" s="1100"/>
    </row>
    <row r="11" spans="1:21" s="122" customFormat="1" ht="27" customHeight="1">
      <c r="A11" s="119">
        <f>SUM(A5:A10)</f>
        <v>241.25</v>
      </c>
      <c r="B11" s="109" t="s">
        <v>807</v>
      </c>
      <c r="C11" s="120">
        <f>SUM(C5:C10)</f>
        <v>1820305.4482212502</v>
      </c>
      <c r="D11" s="120">
        <f t="shared" ref="D11:N11" si="10">SUM(D5:D10)</f>
        <v>1820305.4482212502</v>
      </c>
      <c r="E11" s="120">
        <f t="shared" si="10"/>
        <v>1820305.4482212502</v>
      </c>
      <c r="F11" s="120">
        <f t="shared" si="10"/>
        <v>1753305.4482212502</v>
      </c>
      <c r="G11" s="120">
        <f t="shared" si="10"/>
        <v>1753305.4482212502</v>
      </c>
      <c r="H11" s="120">
        <f t="shared" si="10"/>
        <v>1753305.4482212502</v>
      </c>
      <c r="I11" s="120">
        <f t="shared" si="10"/>
        <v>1753305.4482212502</v>
      </c>
      <c r="J11" s="120">
        <f t="shared" si="10"/>
        <v>1753305.4482212502</v>
      </c>
      <c r="K11" s="120">
        <f t="shared" si="10"/>
        <v>1753305.4482212502</v>
      </c>
      <c r="L11" s="120">
        <f t="shared" si="10"/>
        <v>1820305.4482212502</v>
      </c>
      <c r="M11" s="120">
        <f t="shared" si="10"/>
        <v>1820305.4482212502</v>
      </c>
      <c r="N11" s="120">
        <f t="shared" si="10"/>
        <v>1820305.4482212502</v>
      </c>
      <c r="O11" s="121">
        <f t="shared" si="5"/>
        <v>5460916.3446637504</v>
      </c>
      <c r="P11" s="121">
        <f t="shared" si="6"/>
        <v>5259916.3446637504</v>
      </c>
      <c r="Q11" s="121">
        <f t="shared" si="7"/>
        <v>5259916.3446637504</v>
      </c>
      <c r="R11" s="121">
        <f t="shared" si="8"/>
        <v>5460916.3446637504</v>
      </c>
      <c r="S11" s="121">
        <f t="shared" si="9"/>
        <v>21441665.378655002</v>
      </c>
      <c r="T11" s="1099">
        <f ca="1">'штат-розп'!P215</f>
        <v>21441665.378655002</v>
      </c>
      <c r="U11" s="1099">
        <f>T11-S11</f>
        <v>0</v>
      </c>
    </row>
    <row r="12" spans="1:21" s="123" customFormat="1" ht="27" customHeight="1">
      <c r="A12" s="106"/>
      <c r="B12" s="105" t="s">
        <v>1793</v>
      </c>
      <c r="C12" s="118">
        <f>C45+C61</f>
        <v>0</v>
      </c>
      <c r="D12" s="118">
        <f t="shared" ref="D12:N12" si="11">D45+D61</f>
        <v>0</v>
      </c>
      <c r="E12" s="118">
        <f t="shared" si="11"/>
        <v>0</v>
      </c>
      <c r="F12" s="118">
        <f t="shared" si="11"/>
        <v>0</v>
      </c>
      <c r="G12" s="118">
        <f t="shared" si="11"/>
        <v>0</v>
      </c>
      <c r="H12" s="118">
        <f t="shared" si="11"/>
        <v>0</v>
      </c>
      <c r="I12" s="118">
        <f t="shared" si="11"/>
        <v>0</v>
      </c>
      <c r="J12" s="118">
        <f t="shared" si="11"/>
        <v>0</v>
      </c>
      <c r="K12" s="118">
        <f t="shared" si="11"/>
        <v>0</v>
      </c>
      <c r="L12" s="118">
        <f t="shared" si="11"/>
        <v>0</v>
      </c>
      <c r="M12" s="118">
        <f t="shared" si="11"/>
        <v>0</v>
      </c>
      <c r="N12" s="118">
        <f t="shared" si="11"/>
        <v>0</v>
      </c>
      <c r="O12" s="492">
        <f t="shared" ref="O12:O17" si="12">C12+D12+E12</f>
        <v>0</v>
      </c>
      <c r="P12" s="492">
        <f t="shared" ref="P12:P17" si="13">F12+G12+H12</f>
        <v>0</v>
      </c>
      <c r="Q12" s="492">
        <f t="shared" ref="Q12:Q17" si="14">I12+J12+K12</f>
        <v>0</v>
      </c>
      <c r="R12" s="492">
        <f t="shared" ref="R12:R17" si="15">L12+M12+N12</f>
        <v>0</v>
      </c>
      <c r="S12" s="492">
        <f t="shared" ref="S12:S17" si="16">SUM(O12:R12)</f>
        <v>0</v>
      </c>
      <c r="T12" s="1100"/>
      <c r="U12" s="1100"/>
    </row>
    <row r="13" spans="1:21" s="123" customFormat="1" ht="27" customHeight="1">
      <c r="A13" s="106"/>
      <c r="B13" s="105" t="s">
        <v>1790</v>
      </c>
      <c r="C13" s="118">
        <f t="shared" ref="C13:N17" si="17">C46+C62</f>
        <v>0</v>
      </c>
      <c r="D13" s="118">
        <f t="shared" si="17"/>
        <v>0</v>
      </c>
      <c r="E13" s="118">
        <f t="shared" si="17"/>
        <v>0</v>
      </c>
      <c r="F13" s="118">
        <f t="shared" si="17"/>
        <v>0</v>
      </c>
      <c r="G13" s="118">
        <f t="shared" si="17"/>
        <v>0</v>
      </c>
      <c r="H13" s="118">
        <f t="shared" si="17"/>
        <v>0</v>
      </c>
      <c r="I13" s="118">
        <f t="shared" si="17"/>
        <v>0</v>
      </c>
      <c r="J13" s="118">
        <f t="shared" si="17"/>
        <v>0</v>
      </c>
      <c r="K13" s="118">
        <f t="shared" si="17"/>
        <v>0</v>
      </c>
      <c r="L13" s="118">
        <f t="shared" si="17"/>
        <v>0</v>
      </c>
      <c r="M13" s="118">
        <f t="shared" si="17"/>
        <v>0</v>
      </c>
      <c r="N13" s="118">
        <f t="shared" si="17"/>
        <v>0</v>
      </c>
      <c r="O13" s="492">
        <f t="shared" si="12"/>
        <v>0</v>
      </c>
      <c r="P13" s="492">
        <f t="shared" si="13"/>
        <v>0</v>
      </c>
      <c r="Q13" s="492">
        <f t="shared" si="14"/>
        <v>0</v>
      </c>
      <c r="R13" s="492">
        <f t="shared" si="15"/>
        <v>0</v>
      </c>
      <c r="S13" s="492">
        <f t="shared" si="16"/>
        <v>0</v>
      </c>
      <c r="T13" s="1100"/>
      <c r="U13" s="1100"/>
    </row>
    <row r="14" spans="1:21" s="123" customFormat="1" ht="27" customHeight="1">
      <c r="A14" s="106"/>
      <c r="B14" s="105" t="s">
        <v>1904</v>
      </c>
      <c r="C14" s="118">
        <f t="shared" si="17"/>
        <v>0</v>
      </c>
      <c r="D14" s="118">
        <f t="shared" si="17"/>
        <v>0</v>
      </c>
      <c r="E14" s="118">
        <f t="shared" si="17"/>
        <v>0</v>
      </c>
      <c r="F14" s="118">
        <f t="shared" si="17"/>
        <v>0</v>
      </c>
      <c r="G14" s="118">
        <f t="shared" si="17"/>
        <v>0</v>
      </c>
      <c r="H14" s="118">
        <f t="shared" si="17"/>
        <v>0</v>
      </c>
      <c r="I14" s="118">
        <f t="shared" si="17"/>
        <v>0</v>
      </c>
      <c r="J14" s="118">
        <f t="shared" si="17"/>
        <v>0</v>
      </c>
      <c r="K14" s="118">
        <f t="shared" si="17"/>
        <v>0</v>
      </c>
      <c r="L14" s="118">
        <f t="shared" si="17"/>
        <v>0</v>
      </c>
      <c r="M14" s="118">
        <f t="shared" si="17"/>
        <v>0</v>
      </c>
      <c r="N14" s="118">
        <f t="shared" si="17"/>
        <v>0</v>
      </c>
      <c r="O14" s="492">
        <f t="shared" si="12"/>
        <v>0</v>
      </c>
      <c r="P14" s="492">
        <f t="shared" si="13"/>
        <v>0</v>
      </c>
      <c r="Q14" s="492">
        <f t="shared" si="14"/>
        <v>0</v>
      </c>
      <c r="R14" s="492">
        <f t="shared" si="15"/>
        <v>0</v>
      </c>
      <c r="S14" s="492">
        <f t="shared" si="16"/>
        <v>0</v>
      </c>
      <c r="T14" s="1100"/>
      <c r="U14" s="1100"/>
    </row>
    <row r="15" spans="1:21" s="123" customFormat="1" ht="27" customHeight="1">
      <c r="A15" s="106"/>
      <c r="B15" s="105" t="s">
        <v>1794</v>
      </c>
      <c r="C15" s="118">
        <f t="shared" si="17"/>
        <v>0</v>
      </c>
      <c r="D15" s="118">
        <f t="shared" si="17"/>
        <v>0</v>
      </c>
      <c r="E15" s="118">
        <f t="shared" si="17"/>
        <v>0</v>
      </c>
      <c r="F15" s="118">
        <f t="shared" si="17"/>
        <v>0</v>
      </c>
      <c r="G15" s="118">
        <f t="shared" si="17"/>
        <v>0</v>
      </c>
      <c r="H15" s="118">
        <f t="shared" si="17"/>
        <v>0</v>
      </c>
      <c r="I15" s="118">
        <f t="shared" si="17"/>
        <v>0</v>
      </c>
      <c r="J15" s="118">
        <f t="shared" si="17"/>
        <v>0</v>
      </c>
      <c r="K15" s="118">
        <f t="shared" si="17"/>
        <v>0</v>
      </c>
      <c r="L15" s="118">
        <f t="shared" si="17"/>
        <v>0</v>
      </c>
      <c r="M15" s="118">
        <f t="shared" si="17"/>
        <v>0</v>
      </c>
      <c r="N15" s="118">
        <f t="shared" si="17"/>
        <v>0</v>
      </c>
      <c r="O15" s="492">
        <f t="shared" si="12"/>
        <v>0</v>
      </c>
      <c r="P15" s="492">
        <f t="shared" si="13"/>
        <v>0</v>
      </c>
      <c r="Q15" s="492">
        <f t="shared" si="14"/>
        <v>0</v>
      </c>
      <c r="R15" s="492">
        <f t="shared" si="15"/>
        <v>0</v>
      </c>
      <c r="S15" s="492">
        <f t="shared" si="16"/>
        <v>0</v>
      </c>
      <c r="T15" s="1100"/>
      <c r="U15" s="1100"/>
    </row>
    <row r="16" spans="1:21" s="123" customFormat="1" ht="27" customHeight="1">
      <c r="A16" s="106"/>
      <c r="B16" s="105" t="s">
        <v>1989</v>
      </c>
      <c r="C16" s="118">
        <f t="shared" si="17"/>
        <v>26165.87142857143</v>
      </c>
      <c r="D16" s="118">
        <f t="shared" si="17"/>
        <v>15704.4</v>
      </c>
      <c r="E16" s="118">
        <f t="shared" si="17"/>
        <v>23009.07169811321</v>
      </c>
      <c r="F16" s="118">
        <f t="shared" si="17"/>
        <v>21342.610778443111</v>
      </c>
      <c r="G16" s="118">
        <f t="shared" si="17"/>
        <v>29111.698013245037</v>
      </c>
      <c r="H16" s="118">
        <f t="shared" si="17"/>
        <v>27759.853114962127</v>
      </c>
      <c r="I16" s="118">
        <f t="shared" si="17"/>
        <v>19882.839130434782</v>
      </c>
      <c r="J16" s="118">
        <f t="shared" si="17"/>
        <v>22865.264999999999</v>
      </c>
      <c r="K16" s="118">
        <f t="shared" si="17"/>
        <v>16061.318181818182</v>
      </c>
      <c r="L16" s="118">
        <f t="shared" si="17"/>
        <v>20494.349999999999</v>
      </c>
      <c r="M16" s="118">
        <f t="shared" si="17"/>
        <v>18210.824999999997</v>
      </c>
      <c r="N16" s="118">
        <f t="shared" si="17"/>
        <v>20606.340983606558</v>
      </c>
      <c r="O16" s="492">
        <f t="shared" si="12"/>
        <v>64879.343126684646</v>
      </c>
      <c r="P16" s="492">
        <f t="shared" si="13"/>
        <v>78214.161906650275</v>
      </c>
      <c r="Q16" s="492">
        <f t="shared" si="14"/>
        <v>58809.422312252966</v>
      </c>
      <c r="R16" s="492">
        <f t="shared" si="15"/>
        <v>59311.515983606558</v>
      </c>
      <c r="S16" s="492">
        <f t="shared" si="16"/>
        <v>261214.44332919444</v>
      </c>
      <c r="T16" s="1100"/>
      <c r="U16" s="1100"/>
    </row>
    <row r="17" spans="1:23" s="123" customFormat="1" ht="27" customHeight="1">
      <c r="A17" s="106"/>
      <c r="B17" s="105" t="s">
        <v>1791</v>
      </c>
      <c r="C17" s="118">
        <f t="shared" si="17"/>
        <v>8626.5166666666664</v>
      </c>
      <c r="D17" s="118">
        <f t="shared" si="17"/>
        <v>4536.4666666666672</v>
      </c>
      <c r="E17" s="118">
        <f t="shared" si="17"/>
        <v>7210.8100628930815</v>
      </c>
      <c r="F17" s="118">
        <f t="shared" si="17"/>
        <v>6702.3952095808372</v>
      </c>
      <c r="G17" s="118">
        <f t="shared" si="17"/>
        <v>3502.2543046357614</v>
      </c>
      <c r="H17" s="118">
        <f t="shared" si="17"/>
        <v>3118.2035928143709</v>
      </c>
      <c r="I17" s="118">
        <f t="shared" si="17"/>
        <v>2255.3500000000004</v>
      </c>
      <c r="J17" s="118">
        <f t="shared" si="17"/>
        <v>2437.3525</v>
      </c>
      <c r="K17" s="118">
        <f t="shared" si="17"/>
        <v>1380.75</v>
      </c>
      <c r="L17" s="118">
        <f t="shared" si="17"/>
        <v>6422.739130434783</v>
      </c>
      <c r="M17" s="118">
        <f t="shared" si="17"/>
        <v>5260.4999999999991</v>
      </c>
      <c r="N17" s="118">
        <f t="shared" si="17"/>
        <v>6457.8360655737697</v>
      </c>
      <c r="O17" s="492">
        <f t="shared" si="12"/>
        <v>20373.793396226414</v>
      </c>
      <c r="P17" s="492">
        <f t="shared" si="13"/>
        <v>13322.853107030969</v>
      </c>
      <c r="Q17" s="492">
        <f t="shared" si="14"/>
        <v>6073.4525000000003</v>
      </c>
      <c r="R17" s="492">
        <f t="shared" si="15"/>
        <v>18141.075196008551</v>
      </c>
      <c r="S17" s="492">
        <f t="shared" si="16"/>
        <v>57911.174199265937</v>
      </c>
      <c r="T17" s="1100"/>
      <c r="U17" s="1100"/>
    </row>
    <row r="18" spans="1:23" s="389" customFormat="1" ht="27" customHeight="1">
      <c r="A18" s="386"/>
      <c r="B18" s="387" t="s">
        <v>1543</v>
      </c>
      <c r="C18" s="388">
        <f>SUM(C12:C17)</f>
        <v>34792.388095238101</v>
      </c>
      <c r="D18" s="388">
        <f t="shared" ref="D18:S18" si="18">SUM(D12:D17)</f>
        <v>20240.866666666669</v>
      </c>
      <c r="E18" s="388">
        <f t="shared" si="18"/>
        <v>30219.881761006291</v>
      </c>
      <c r="F18" s="388">
        <f t="shared" si="18"/>
        <v>28045.00598802395</v>
      </c>
      <c r="G18" s="388">
        <f t="shared" si="18"/>
        <v>32613.952317880798</v>
      </c>
      <c r="H18" s="388">
        <f t="shared" si="18"/>
        <v>30878.056707776497</v>
      </c>
      <c r="I18" s="388">
        <f t="shared" si="18"/>
        <v>22138.189130434781</v>
      </c>
      <c r="J18" s="388">
        <f t="shared" si="18"/>
        <v>25302.6175</v>
      </c>
      <c r="K18" s="388">
        <f t="shared" si="18"/>
        <v>17442.068181818184</v>
      </c>
      <c r="L18" s="388">
        <f t="shared" si="18"/>
        <v>26917.089130434782</v>
      </c>
      <c r="M18" s="388">
        <f t="shared" si="18"/>
        <v>23471.324999999997</v>
      </c>
      <c r="N18" s="388">
        <f t="shared" si="18"/>
        <v>27064.177049180329</v>
      </c>
      <c r="O18" s="388">
        <f t="shared" si="18"/>
        <v>85253.136522911052</v>
      </c>
      <c r="P18" s="388">
        <f t="shared" si="18"/>
        <v>91537.015013681244</v>
      </c>
      <c r="Q18" s="388">
        <f t="shared" si="18"/>
        <v>64882.874812252965</v>
      </c>
      <c r="R18" s="388">
        <f t="shared" si="18"/>
        <v>77452.591179615105</v>
      </c>
      <c r="S18" s="388">
        <f t="shared" si="18"/>
        <v>319125.6175284604</v>
      </c>
      <c r="T18" s="1106">
        <f ca="1">'НЧ - СД'!R27+'НЧ - СД'!R28+'НЧ - СД'!R87+'НЧ - СД'!R88</f>
        <v>319125.61752846034</v>
      </c>
      <c r="U18" s="1099">
        <f>T18-S18</f>
        <v>0</v>
      </c>
    </row>
    <row r="19" spans="1:23" s="123" customFormat="1" ht="27" customHeight="1">
      <c r="A19" s="106"/>
      <c r="B19" s="105" t="s">
        <v>1793</v>
      </c>
      <c r="C19" s="118">
        <f>C69+C77+C85</f>
        <v>4617.9161947916664</v>
      </c>
      <c r="D19" s="118">
        <f t="shared" ref="D19:N19" si="19">D69+D77+D85</f>
        <v>4617.9161947916664</v>
      </c>
      <c r="E19" s="118">
        <f t="shared" si="19"/>
        <v>4617.9161947916664</v>
      </c>
      <c r="F19" s="118">
        <f t="shared" si="19"/>
        <v>4617.9161947916664</v>
      </c>
      <c r="G19" s="118">
        <f t="shared" si="19"/>
        <v>4617.9161947916664</v>
      </c>
      <c r="H19" s="118">
        <f t="shared" si="19"/>
        <v>4617.9161947916664</v>
      </c>
      <c r="I19" s="118">
        <f t="shared" si="19"/>
        <v>4617.9161947916664</v>
      </c>
      <c r="J19" s="118">
        <f t="shared" si="19"/>
        <v>4617.9161947916664</v>
      </c>
      <c r="K19" s="118">
        <f t="shared" si="19"/>
        <v>4617.9161947916664</v>
      </c>
      <c r="L19" s="118">
        <f t="shared" si="19"/>
        <v>4617.9161947916664</v>
      </c>
      <c r="M19" s="118">
        <f t="shared" si="19"/>
        <v>4617.9161947916664</v>
      </c>
      <c r="N19" s="118">
        <f t="shared" si="19"/>
        <v>4617.9161947916664</v>
      </c>
      <c r="O19" s="492">
        <f t="shared" ref="O19:O24" si="20">C19+D19+E19</f>
        <v>13853.748584375</v>
      </c>
      <c r="P19" s="492">
        <f t="shared" ref="P19:P24" si="21">F19+G19+H19</f>
        <v>13853.748584375</v>
      </c>
      <c r="Q19" s="492">
        <f t="shared" ref="Q19:Q24" si="22">I19+J19+K19</f>
        <v>13853.748584375</v>
      </c>
      <c r="R19" s="492">
        <f t="shared" ref="R19:R24" si="23">L19+M19+N19</f>
        <v>13853.748584375</v>
      </c>
      <c r="S19" s="492">
        <f t="shared" ref="S19:S24" si="24">SUM(O19:R19)</f>
        <v>55414.9943375</v>
      </c>
      <c r="T19" s="1100"/>
      <c r="U19" s="1100"/>
    </row>
    <row r="20" spans="1:23" s="123" customFormat="1" ht="27" customHeight="1">
      <c r="A20" s="106"/>
      <c r="B20" s="105" t="s">
        <v>1790</v>
      </c>
      <c r="C20" s="118">
        <f t="shared" ref="C20:N24" si="25">C70+C78+C86</f>
        <v>9174.7924479166668</v>
      </c>
      <c r="D20" s="118">
        <f t="shared" si="25"/>
        <v>9174.7924479166668</v>
      </c>
      <c r="E20" s="118">
        <f t="shared" si="25"/>
        <v>9174.7924479166668</v>
      </c>
      <c r="F20" s="118">
        <f t="shared" si="25"/>
        <v>9174.7924479166668</v>
      </c>
      <c r="G20" s="118">
        <f t="shared" si="25"/>
        <v>9174.7924479166668</v>
      </c>
      <c r="H20" s="118">
        <f t="shared" si="25"/>
        <v>9174.7924479166668</v>
      </c>
      <c r="I20" s="118">
        <f t="shared" si="25"/>
        <v>9174.7924479166668</v>
      </c>
      <c r="J20" s="118">
        <f t="shared" si="25"/>
        <v>9174.7924479166668</v>
      </c>
      <c r="K20" s="118">
        <f t="shared" si="25"/>
        <v>9174.7924479166668</v>
      </c>
      <c r="L20" s="118">
        <f t="shared" si="25"/>
        <v>9174.7924479166668</v>
      </c>
      <c r="M20" s="118">
        <f t="shared" si="25"/>
        <v>9174.7924479166668</v>
      </c>
      <c r="N20" s="118">
        <f t="shared" si="25"/>
        <v>9174.7924479166668</v>
      </c>
      <c r="O20" s="492">
        <f t="shared" si="20"/>
        <v>27524.377343749999</v>
      </c>
      <c r="P20" s="492">
        <f t="shared" si="21"/>
        <v>27524.377343749999</v>
      </c>
      <c r="Q20" s="492">
        <f t="shared" si="22"/>
        <v>27524.377343749999</v>
      </c>
      <c r="R20" s="492">
        <f t="shared" si="23"/>
        <v>27524.377343749999</v>
      </c>
      <c r="S20" s="492">
        <f t="shared" si="24"/>
        <v>110097.50937499999</v>
      </c>
      <c r="T20" s="1100"/>
      <c r="U20" s="1100"/>
    </row>
    <row r="21" spans="1:23" s="123" customFormat="1" ht="27" customHeight="1">
      <c r="A21" s="106"/>
      <c r="B21" s="105" t="s">
        <v>1904</v>
      </c>
      <c r="C21" s="118">
        <f t="shared" si="25"/>
        <v>21117.216666666667</v>
      </c>
      <c r="D21" s="118">
        <f t="shared" si="25"/>
        <v>21117.216666666667</v>
      </c>
      <c r="E21" s="118">
        <f t="shared" si="25"/>
        <v>21117.216666666667</v>
      </c>
      <c r="F21" s="118">
        <f t="shared" si="25"/>
        <v>21117.216666666667</v>
      </c>
      <c r="G21" s="118">
        <f t="shared" si="25"/>
        <v>21117.216666666667</v>
      </c>
      <c r="H21" s="118">
        <f t="shared" si="25"/>
        <v>21117.216666666667</v>
      </c>
      <c r="I21" s="118">
        <f t="shared" si="25"/>
        <v>21117.216666666667</v>
      </c>
      <c r="J21" s="118">
        <f t="shared" si="25"/>
        <v>21117.216666666667</v>
      </c>
      <c r="K21" s="118">
        <f t="shared" si="25"/>
        <v>21117.216666666667</v>
      </c>
      <c r="L21" s="118">
        <f t="shared" si="25"/>
        <v>21117.216666666667</v>
      </c>
      <c r="M21" s="118">
        <f t="shared" si="25"/>
        <v>21117.216666666667</v>
      </c>
      <c r="N21" s="118">
        <f t="shared" si="25"/>
        <v>21117.216666666667</v>
      </c>
      <c r="O21" s="492">
        <f t="shared" si="20"/>
        <v>63351.65</v>
      </c>
      <c r="P21" s="492">
        <f t="shared" si="21"/>
        <v>63351.65</v>
      </c>
      <c r="Q21" s="492">
        <f t="shared" si="22"/>
        <v>63351.65</v>
      </c>
      <c r="R21" s="492">
        <f t="shared" si="23"/>
        <v>63351.65</v>
      </c>
      <c r="S21" s="492">
        <f t="shared" si="24"/>
        <v>253406.6</v>
      </c>
      <c r="T21" s="1100"/>
      <c r="U21" s="1100"/>
    </row>
    <row r="22" spans="1:23" s="123" customFormat="1" ht="27" customHeight="1">
      <c r="A22" s="106"/>
      <c r="B22" s="105" t="s">
        <v>1794</v>
      </c>
      <c r="C22" s="118">
        <f t="shared" si="25"/>
        <v>42927.589583333334</v>
      </c>
      <c r="D22" s="118">
        <f t="shared" si="25"/>
        <v>42927.589583333334</v>
      </c>
      <c r="E22" s="118">
        <f t="shared" si="25"/>
        <v>42927.589583333334</v>
      </c>
      <c r="F22" s="118">
        <f t="shared" si="25"/>
        <v>42927.589583333334</v>
      </c>
      <c r="G22" s="118">
        <f t="shared" si="25"/>
        <v>42927.589583333334</v>
      </c>
      <c r="H22" s="118">
        <f t="shared" si="25"/>
        <v>42927.589583333334</v>
      </c>
      <c r="I22" s="118">
        <f t="shared" si="25"/>
        <v>42927.589583333334</v>
      </c>
      <c r="J22" s="118">
        <f t="shared" si="25"/>
        <v>42927.589583333334</v>
      </c>
      <c r="K22" s="118">
        <f t="shared" si="25"/>
        <v>42927.589583333334</v>
      </c>
      <c r="L22" s="118">
        <f t="shared" si="25"/>
        <v>42927.589583333334</v>
      </c>
      <c r="M22" s="118">
        <f t="shared" si="25"/>
        <v>42927.589583333334</v>
      </c>
      <c r="N22" s="118">
        <f t="shared" si="25"/>
        <v>42927.589583333334</v>
      </c>
      <c r="O22" s="492">
        <f t="shared" si="20"/>
        <v>128782.76875</v>
      </c>
      <c r="P22" s="492">
        <f t="shared" si="21"/>
        <v>128782.76875</v>
      </c>
      <c r="Q22" s="492">
        <f t="shared" si="22"/>
        <v>128782.76875</v>
      </c>
      <c r="R22" s="492">
        <f t="shared" si="23"/>
        <v>128782.76875</v>
      </c>
      <c r="S22" s="492">
        <f t="shared" si="24"/>
        <v>515131.07500000001</v>
      </c>
      <c r="T22" s="1100"/>
      <c r="U22" s="1100"/>
    </row>
    <row r="23" spans="1:23" s="123" customFormat="1" ht="27" customHeight="1">
      <c r="A23" s="106"/>
      <c r="B23" s="105" t="s">
        <v>1989</v>
      </c>
      <c r="C23" s="118">
        <f t="shared" si="25"/>
        <v>12746.916666666666</v>
      </c>
      <c r="D23" s="118">
        <f t="shared" si="25"/>
        <v>12746.916666666666</v>
      </c>
      <c r="E23" s="118">
        <f t="shared" si="25"/>
        <v>12746.916666666666</v>
      </c>
      <c r="F23" s="118">
        <f t="shared" si="25"/>
        <v>12746.916666666666</v>
      </c>
      <c r="G23" s="118">
        <f t="shared" si="25"/>
        <v>12746.916666666666</v>
      </c>
      <c r="H23" s="118">
        <f t="shared" si="25"/>
        <v>12746.916666666666</v>
      </c>
      <c r="I23" s="118">
        <f t="shared" si="25"/>
        <v>12746.916666666666</v>
      </c>
      <c r="J23" s="118">
        <f t="shared" si="25"/>
        <v>12746.916666666666</v>
      </c>
      <c r="K23" s="118">
        <f t="shared" si="25"/>
        <v>12746.916666666666</v>
      </c>
      <c r="L23" s="118">
        <f t="shared" si="25"/>
        <v>12746.916666666666</v>
      </c>
      <c r="M23" s="118">
        <f t="shared" si="25"/>
        <v>12746.916666666666</v>
      </c>
      <c r="N23" s="118">
        <f t="shared" si="25"/>
        <v>12746.916666666666</v>
      </c>
      <c r="O23" s="492">
        <f t="shared" si="20"/>
        <v>38240.75</v>
      </c>
      <c r="P23" s="492">
        <f t="shared" si="21"/>
        <v>38240.75</v>
      </c>
      <c r="Q23" s="492">
        <f t="shared" si="22"/>
        <v>38240.75</v>
      </c>
      <c r="R23" s="492">
        <f t="shared" si="23"/>
        <v>38240.75</v>
      </c>
      <c r="S23" s="492">
        <f t="shared" si="24"/>
        <v>152963</v>
      </c>
      <c r="T23" s="1100"/>
      <c r="U23" s="1100"/>
    </row>
    <row r="24" spans="1:23" s="123" customFormat="1" ht="27" customHeight="1">
      <c r="A24" s="106"/>
      <c r="B24" s="105" t="s">
        <v>1791</v>
      </c>
      <c r="C24" s="118">
        <f t="shared" si="25"/>
        <v>12174.908333333333</v>
      </c>
      <c r="D24" s="118">
        <f t="shared" si="25"/>
        <v>12174.908333333333</v>
      </c>
      <c r="E24" s="118">
        <f t="shared" si="25"/>
        <v>12174.908333333333</v>
      </c>
      <c r="F24" s="118">
        <f t="shared" si="25"/>
        <v>12174.908333333333</v>
      </c>
      <c r="G24" s="118">
        <f t="shared" si="25"/>
        <v>12174.908333333333</v>
      </c>
      <c r="H24" s="118">
        <f t="shared" si="25"/>
        <v>12174.908333333333</v>
      </c>
      <c r="I24" s="118">
        <f t="shared" si="25"/>
        <v>12174.908333333333</v>
      </c>
      <c r="J24" s="118">
        <f t="shared" si="25"/>
        <v>12174.908333333333</v>
      </c>
      <c r="K24" s="118">
        <f t="shared" si="25"/>
        <v>12174.908333333333</v>
      </c>
      <c r="L24" s="118">
        <f t="shared" si="25"/>
        <v>12174.908333333333</v>
      </c>
      <c r="M24" s="118">
        <f t="shared" si="25"/>
        <v>12174.908333333333</v>
      </c>
      <c r="N24" s="118">
        <f t="shared" si="25"/>
        <v>12174.908333333333</v>
      </c>
      <c r="O24" s="492">
        <f t="shared" si="20"/>
        <v>36524.724999999999</v>
      </c>
      <c r="P24" s="492">
        <f t="shared" si="21"/>
        <v>36524.724999999999</v>
      </c>
      <c r="Q24" s="492">
        <f t="shared" si="22"/>
        <v>36524.724999999999</v>
      </c>
      <c r="R24" s="492">
        <f t="shared" si="23"/>
        <v>36524.724999999999</v>
      </c>
      <c r="S24" s="492">
        <f t="shared" si="24"/>
        <v>146098.9</v>
      </c>
      <c r="T24" s="1100"/>
      <c r="U24" s="1100"/>
    </row>
    <row r="25" spans="1:23" s="124" customFormat="1" ht="27" customHeight="1">
      <c r="A25" s="119"/>
      <c r="B25" s="110" t="s">
        <v>1544</v>
      </c>
      <c r="C25" s="120">
        <f>SUM(C19:C24)</f>
        <v>102759.33989270835</v>
      </c>
      <c r="D25" s="120">
        <f t="shared" ref="D25:S25" si="26">SUM(D19:D24)</f>
        <v>102759.33989270835</v>
      </c>
      <c r="E25" s="120">
        <f t="shared" si="26"/>
        <v>102759.33989270835</v>
      </c>
      <c r="F25" s="120">
        <f t="shared" si="26"/>
        <v>102759.33989270835</v>
      </c>
      <c r="G25" s="120">
        <f t="shared" si="26"/>
        <v>102759.33989270835</v>
      </c>
      <c r="H25" s="120">
        <f t="shared" si="26"/>
        <v>102759.33989270835</v>
      </c>
      <c r="I25" s="120">
        <f t="shared" si="26"/>
        <v>102759.33989270835</v>
      </c>
      <c r="J25" s="120">
        <f t="shared" si="26"/>
        <v>102759.33989270835</v>
      </c>
      <c r="K25" s="120">
        <f t="shared" si="26"/>
        <v>102759.33989270835</v>
      </c>
      <c r="L25" s="120">
        <f t="shared" si="26"/>
        <v>102759.33989270835</v>
      </c>
      <c r="M25" s="120">
        <f t="shared" si="26"/>
        <v>102759.33989270835</v>
      </c>
      <c r="N25" s="120">
        <f t="shared" si="26"/>
        <v>102759.33989270835</v>
      </c>
      <c r="O25" s="120">
        <f t="shared" si="26"/>
        <v>308278.01967812498</v>
      </c>
      <c r="P25" s="120">
        <f t="shared" si="26"/>
        <v>308278.01967812498</v>
      </c>
      <c r="Q25" s="120">
        <f t="shared" si="26"/>
        <v>308278.01967812498</v>
      </c>
      <c r="R25" s="120">
        <f t="shared" si="26"/>
        <v>308278.01967812498</v>
      </c>
      <c r="S25" s="120">
        <f t="shared" si="26"/>
        <v>1233112.0787124999</v>
      </c>
      <c r="T25" s="1110">
        <f ca="1">тарифікація!AW433</f>
        <v>1282600.8787125002</v>
      </c>
      <c r="U25" s="1111">
        <f>S25-T25</f>
        <v>-49488.800000000279</v>
      </c>
    </row>
    <row r="26" spans="1:23" s="123" customFormat="1" ht="27" customHeight="1">
      <c r="A26" s="106"/>
      <c r="B26" s="105" t="s">
        <v>1793</v>
      </c>
      <c r="C26" s="118">
        <f ca="1">'штат-розп'!S208</f>
        <v>7036.7989437499964</v>
      </c>
      <c r="D26" s="118">
        <f t="shared" ref="D26:D31" si="27">C26</f>
        <v>7036.7989437499964</v>
      </c>
      <c r="E26" s="118">
        <f t="shared" ref="E26:E31" si="28">D26</f>
        <v>7036.7989437499964</v>
      </c>
      <c r="F26" s="118">
        <f t="shared" ref="F26:F31" si="29">E26</f>
        <v>7036.7989437499964</v>
      </c>
      <c r="G26" s="118">
        <f t="shared" ref="G26:G31" si="30">F26</f>
        <v>7036.7989437499964</v>
      </c>
      <c r="H26" s="118">
        <f t="shared" ref="H26:H31" si="31">G26</f>
        <v>7036.7989437499964</v>
      </c>
      <c r="I26" s="118">
        <f t="shared" ref="I26:I31" si="32">H26</f>
        <v>7036.7989437499964</v>
      </c>
      <c r="J26" s="118">
        <f t="shared" ref="J26:J31" si="33">I26</f>
        <v>7036.7989437499964</v>
      </c>
      <c r="K26" s="118">
        <f t="shared" ref="K26:K31" si="34">J26</f>
        <v>7036.7989437499964</v>
      </c>
      <c r="L26" s="118">
        <f t="shared" ref="L26:L31" si="35">K26</f>
        <v>7036.7989437499964</v>
      </c>
      <c r="M26" s="118">
        <f t="shared" ref="M26:M31" si="36">L26</f>
        <v>7036.7989437499964</v>
      </c>
      <c r="N26" s="118">
        <f t="shared" ref="N26:N31" si="37">M26</f>
        <v>7036.7989437499964</v>
      </c>
      <c r="O26" s="492">
        <f t="shared" ref="O26:O31" si="38">C26+D26+E26</f>
        <v>21110.396831249989</v>
      </c>
      <c r="P26" s="492">
        <f t="shared" ref="P26:P31" si="39">F26+G26+H26</f>
        <v>21110.396831249989</v>
      </c>
      <c r="Q26" s="492">
        <f t="shared" ref="Q26:Q31" si="40">I26+J26+K26</f>
        <v>21110.396831249989</v>
      </c>
      <c r="R26" s="492">
        <f t="shared" ref="R26:R31" si="41">L26+M26+N26</f>
        <v>21110.396831249989</v>
      </c>
      <c r="S26" s="492">
        <f t="shared" ref="S26:S31" si="42">SUM(O26:R26)</f>
        <v>84441.587324999957</v>
      </c>
      <c r="T26" s="1100"/>
      <c r="U26" s="1100"/>
    </row>
    <row r="27" spans="1:23" s="123" customFormat="1" ht="27" customHeight="1">
      <c r="A27" s="106"/>
      <c r="B27" s="105" t="s">
        <v>1790</v>
      </c>
      <c r="C27" s="118">
        <f ca="1">'штат-розп'!S209</f>
        <v>61606.188300000002</v>
      </c>
      <c r="D27" s="118">
        <f t="shared" si="27"/>
        <v>61606.188300000002</v>
      </c>
      <c r="E27" s="118">
        <f t="shared" si="28"/>
        <v>61606.188300000002</v>
      </c>
      <c r="F27" s="118">
        <f t="shared" si="29"/>
        <v>61606.188300000002</v>
      </c>
      <c r="G27" s="118">
        <f t="shared" si="30"/>
        <v>61606.188300000002</v>
      </c>
      <c r="H27" s="118">
        <f t="shared" si="31"/>
        <v>61606.188300000002</v>
      </c>
      <c r="I27" s="118">
        <f t="shared" si="32"/>
        <v>61606.188300000002</v>
      </c>
      <c r="J27" s="118">
        <f t="shared" si="33"/>
        <v>61606.188300000002</v>
      </c>
      <c r="K27" s="118">
        <f t="shared" si="34"/>
        <v>61606.188300000002</v>
      </c>
      <c r="L27" s="118">
        <f t="shared" si="35"/>
        <v>61606.188300000002</v>
      </c>
      <c r="M27" s="118">
        <f t="shared" si="36"/>
        <v>61606.188300000002</v>
      </c>
      <c r="N27" s="118">
        <f t="shared" si="37"/>
        <v>61606.188300000002</v>
      </c>
      <c r="O27" s="492">
        <f t="shared" si="38"/>
        <v>184818.5649</v>
      </c>
      <c r="P27" s="492">
        <f t="shared" si="39"/>
        <v>184818.5649</v>
      </c>
      <c r="Q27" s="492">
        <f t="shared" si="40"/>
        <v>184818.5649</v>
      </c>
      <c r="R27" s="492">
        <f t="shared" si="41"/>
        <v>184818.5649</v>
      </c>
      <c r="S27" s="492">
        <f t="shared" si="42"/>
        <v>739274.25959999999</v>
      </c>
      <c r="T27" s="1100"/>
      <c r="U27" s="1100"/>
    </row>
    <row r="28" spans="1:23" s="123" customFormat="1" ht="27" customHeight="1">
      <c r="A28" s="106"/>
      <c r="B28" s="105" t="s">
        <v>1904</v>
      </c>
      <c r="C28" s="118">
        <f ca="1">'штат-розп'!S210</f>
        <v>470734.07624999998</v>
      </c>
      <c r="D28" s="118">
        <f t="shared" si="27"/>
        <v>470734.07624999998</v>
      </c>
      <c r="E28" s="118">
        <f t="shared" si="28"/>
        <v>470734.07624999998</v>
      </c>
      <c r="F28" s="118">
        <f t="shared" si="29"/>
        <v>470734.07624999998</v>
      </c>
      <c r="G28" s="118">
        <f t="shared" si="30"/>
        <v>470734.07624999998</v>
      </c>
      <c r="H28" s="118">
        <f t="shared" si="31"/>
        <v>470734.07624999998</v>
      </c>
      <c r="I28" s="118">
        <f t="shared" si="32"/>
        <v>470734.07624999998</v>
      </c>
      <c r="J28" s="118">
        <f t="shared" si="33"/>
        <v>470734.07624999998</v>
      </c>
      <c r="K28" s="118">
        <f t="shared" si="34"/>
        <v>470734.07624999998</v>
      </c>
      <c r="L28" s="118">
        <f t="shared" si="35"/>
        <v>470734.07624999998</v>
      </c>
      <c r="M28" s="118">
        <f t="shared" si="36"/>
        <v>470734.07624999998</v>
      </c>
      <c r="N28" s="118">
        <f t="shared" si="37"/>
        <v>470734.07624999998</v>
      </c>
      <c r="O28" s="492">
        <f t="shared" si="38"/>
        <v>1412202.22875</v>
      </c>
      <c r="P28" s="492">
        <f t="shared" si="39"/>
        <v>1412202.22875</v>
      </c>
      <c r="Q28" s="492">
        <f t="shared" si="40"/>
        <v>1412202.22875</v>
      </c>
      <c r="R28" s="492">
        <f t="shared" si="41"/>
        <v>1412202.22875</v>
      </c>
      <c r="S28" s="492">
        <f t="shared" si="42"/>
        <v>5648808.915</v>
      </c>
      <c r="T28" s="1100"/>
      <c r="U28" s="1100"/>
    </row>
    <row r="29" spans="1:23" s="123" customFormat="1" ht="27" customHeight="1">
      <c r="A29" s="106"/>
      <c r="B29" s="105" t="s">
        <v>1794</v>
      </c>
      <c r="C29" s="118">
        <f ca="1">'штат-розп'!S211</f>
        <v>638957.40249999985</v>
      </c>
      <c r="D29" s="118">
        <f t="shared" si="27"/>
        <v>638957.40249999985</v>
      </c>
      <c r="E29" s="118">
        <f t="shared" si="28"/>
        <v>638957.40249999985</v>
      </c>
      <c r="F29" s="118">
        <f t="shared" si="29"/>
        <v>638957.40249999985</v>
      </c>
      <c r="G29" s="118">
        <f t="shared" si="30"/>
        <v>638957.40249999985</v>
      </c>
      <c r="H29" s="118">
        <f t="shared" si="31"/>
        <v>638957.40249999985</v>
      </c>
      <c r="I29" s="118">
        <f t="shared" si="32"/>
        <v>638957.40249999985</v>
      </c>
      <c r="J29" s="118">
        <f t="shared" si="33"/>
        <v>638957.40249999985</v>
      </c>
      <c r="K29" s="118">
        <f t="shared" si="34"/>
        <v>638957.40249999985</v>
      </c>
      <c r="L29" s="118">
        <f t="shared" si="35"/>
        <v>638957.40249999985</v>
      </c>
      <c r="M29" s="118">
        <f t="shared" si="36"/>
        <v>638957.40249999985</v>
      </c>
      <c r="N29" s="118">
        <f t="shared" si="37"/>
        <v>638957.40249999985</v>
      </c>
      <c r="O29" s="492">
        <f t="shared" si="38"/>
        <v>1916872.2074999996</v>
      </c>
      <c r="P29" s="492">
        <f t="shared" si="39"/>
        <v>1916872.2074999996</v>
      </c>
      <c r="Q29" s="492">
        <f t="shared" si="40"/>
        <v>1916872.2074999996</v>
      </c>
      <c r="R29" s="492">
        <f t="shared" si="41"/>
        <v>1916872.2074999996</v>
      </c>
      <c r="S29" s="492">
        <f t="shared" si="42"/>
        <v>7667488.8299999982</v>
      </c>
      <c r="T29" s="1100"/>
      <c r="U29" s="1100"/>
    </row>
    <row r="30" spans="1:23" s="123" customFormat="1" ht="27" customHeight="1">
      <c r="A30" s="106"/>
      <c r="B30" s="105" t="s">
        <v>1989</v>
      </c>
      <c r="C30" s="118">
        <f ca="1">'штат-розп'!S212</f>
        <v>0</v>
      </c>
      <c r="D30" s="118">
        <f t="shared" si="27"/>
        <v>0</v>
      </c>
      <c r="E30" s="118">
        <f t="shared" si="28"/>
        <v>0</v>
      </c>
      <c r="F30" s="118">
        <f t="shared" si="29"/>
        <v>0</v>
      </c>
      <c r="G30" s="118">
        <f t="shared" si="30"/>
        <v>0</v>
      </c>
      <c r="H30" s="118">
        <f t="shared" si="31"/>
        <v>0</v>
      </c>
      <c r="I30" s="118">
        <f t="shared" si="32"/>
        <v>0</v>
      </c>
      <c r="J30" s="118">
        <f t="shared" si="33"/>
        <v>0</v>
      </c>
      <c r="K30" s="118">
        <f t="shared" si="34"/>
        <v>0</v>
      </c>
      <c r="L30" s="118">
        <f t="shared" si="35"/>
        <v>0</v>
      </c>
      <c r="M30" s="118">
        <f t="shared" si="36"/>
        <v>0</v>
      </c>
      <c r="N30" s="118">
        <f t="shared" si="37"/>
        <v>0</v>
      </c>
      <c r="O30" s="492">
        <f t="shared" si="38"/>
        <v>0</v>
      </c>
      <c r="P30" s="492">
        <f t="shared" si="39"/>
        <v>0</v>
      </c>
      <c r="Q30" s="492">
        <f t="shared" si="40"/>
        <v>0</v>
      </c>
      <c r="R30" s="492">
        <f t="shared" si="41"/>
        <v>0</v>
      </c>
      <c r="S30" s="492">
        <f t="shared" si="42"/>
        <v>0</v>
      </c>
      <c r="T30" s="1100"/>
      <c r="U30" s="1100"/>
    </row>
    <row r="31" spans="1:23" s="123" customFormat="1" ht="27" customHeight="1">
      <c r="A31" s="106"/>
      <c r="B31" s="105" t="s">
        <v>1791</v>
      </c>
      <c r="C31" s="118">
        <f ca="1">'штат-розп'!S213</f>
        <v>0</v>
      </c>
      <c r="D31" s="118">
        <f t="shared" si="27"/>
        <v>0</v>
      </c>
      <c r="E31" s="118">
        <f t="shared" si="28"/>
        <v>0</v>
      </c>
      <c r="F31" s="118">
        <f t="shared" si="29"/>
        <v>0</v>
      </c>
      <c r="G31" s="118">
        <f t="shared" si="30"/>
        <v>0</v>
      </c>
      <c r="H31" s="118">
        <f t="shared" si="31"/>
        <v>0</v>
      </c>
      <c r="I31" s="118">
        <f t="shared" si="32"/>
        <v>0</v>
      </c>
      <c r="J31" s="118">
        <f t="shared" si="33"/>
        <v>0</v>
      </c>
      <c r="K31" s="118">
        <f t="shared" si="34"/>
        <v>0</v>
      </c>
      <c r="L31" s="118">
        <f t="shared" si="35"/>
        <v>0</v>
      </c>
      <c r="M31" s="118">
        <f t="shared" si="36"/>
        <v>0</v>
      </c>
      <c r="N31" s="118">
        <f t="shared" si="37"/>
        <v>0</v>
      </c>
      <c r="O31" s="492">
        <f t="shared" si="38"/>
        <v>0</v>
      </c>
      <c r="P31" s="492">
        <f t="shared" si="39"/>
        <v>0</v>
      </c>
      <c r="Q31" s="492">
        <f t="shared" si="40"/>
        <v>0</v>
      </c>
      <c r="R31" s="492">
        <f t="shared" si="41"/>
        <v>0</v>
      </c>
      <c r="S31" s="492">
        <f t="shared" si="42"/>
        <v>0</v>
      </c>
      <c r="T31" s="1100"/>
      <c r="U31" s="1100"/>
    </row>
    <row r="32" spans="1:23" s="124" customFormat="1" ht="27" customHeight="1">
      <c r="A32" s="119"/>
      <c r="B32" s="110" t="s">
        <v>808</v>
      </c>
      <c r="C32" s="120">
        <f>SUM(C26:C31)</f>
        <v>1178334.4659937499</v>
      </c>
      <c r="D32" s="120">
        <f t="shared" ref="D32:S32" si="43">SUM(D26:D31)</f>
        <v>1178334.4659937499</v>
      </c>
      <c r="E32" s="120">
        <f t="shared" si="43"/>
        <v>1178334.4659937499</v>
      </c>
      <c r="F32" s="120">
        <f t="shared" si="43"/>
        <v>1178334.4659937499</v>
      </c>
      <c r="G32" s="120">
        <f t="shared" si="43"/>
        <v>1178334.4659937499</v>
      </c>
      <c r="H32" s="120">
        <f t="shared" si="43"/>
        <v>1178334.4659937499</v>
      </c>
      <c r="I32" s="120">
        <f t="shared" si="43"/>
        <v>1178334.4659937499</v>
      </c>
      <c r="J32" s="120">
        <f t="shared" si="43"/>
        <v>1178334.4659937499</v>
      </c>
      <c r="K32" s="120">
        <f t="shared" si="43"/>
        <v>1178334.4659937499</v>
      </c>
      <c r="L32" s="120">
        <f t="shared" si="43"/>
        <v>1178334.4659937499</v>
      </c>
      <c r="M32" s="120">
        <f t="shared" si="43"/>
        <v>1178334.4659937499</v>
      </c>
      <c r="N32" s="120">
        <f t="shared" si="43"/>
        <v>1178334.4659937499</v>
      </c>
      <c r="O32" s="120">
        <f t="shared" si="43"/>
        <v>3535003.3979812497</v>
      </c>
      <c r="P32" s="120">
        <f t="shared" si="43"/>
        <v>3535003.3979812497</v>
      </c>
      <c r="Q32" s="120">
        <f t="shared" si="43"/>
        <v>3535003.3979812497</v>
      </c>
      <c r="R32" s="120">
        <f t="shared" si="43"/>
        <v>3535003.3979812497</v>
      </c>
      <c r="S32" s="120">
        <f t="shared" si="43"/>
        <v>14140013.591924999</v>
      </c>
      <c r="T32" s="1107"/>
      <c r="U32" s="1107"/>
      <c r="V32" s="1107"/>
      <c r="W32" s="1107"/>
    </row>
    <row r="33" spans="1:23" s="128" customFormat="1" ht="27" customHeight="1">
      <c r="A33" s="125"/>
      <c r="B33" s="143" t="s">
        <v>1545</v>
      </c>
      <c r="C33" s="126">
        <f>C11+C18+C25+C32</f>
        <v>3136191.6422029464</v>
      </c>
      <c r="D33" s="126">
        <f t="shared" ref="D33:N33" si="44">D11+D18+D25+D32</f>
        <v>3121640.1207743753</v>
      </c>
      <c r="E33" s="126">
        <f t="shared" si="44"/>
        <v>3131619.1358687147</v>
      </c>
      <c r="F33" s="126">
        <f t="shared" si="44"/>
        <v>3062444.2600957323</v>
      </c>
      <c r="G33" s="126">
        <f t="shared" si="44"/>
        <v>3067013.206425589</v>
      </c>
      <c r="H33" s="126">
        <f t="shared" si="44"/>
        <v>3065277.3108154847</v>
      </c>
      <c r="I33" s="126">
        <f t="shared" si="44"/>
        <v>3056537.4432381433</v>
      </c>
      <c r="J33" s="126">
        <f t="shared" si="44"/>
        <v>3059701.8716077083</v>
      </c>
      <c r="K33" s="126">
        <f t="shared" si="44"/>
        <v>3051841.3222895265</v>
      </c>
      <c r="L33" s="126">
        <f t="shared" si="44"/>
        <v>3128316.3432381433</v>
      </c>
      <c r="M33" s="126">
        <f t="shared" si="44"/>
        <v>3124870.5791077083</v>
      </c>
      <c r="N33" s="126">
        <f t="shared" si="44"/>
        <v>3128463.4311568886</v>
      </c>
      <c r="O33" s="127">
        <f>C33+D33+E33</f>
        <v>9389450.8988460358</v>
      </c>
      <c r="P33" s="127">
        <f>F33+G33+H33</f>
        <v>9194734.7773368061</v>
      </c>
      <c r="Q33" s="127">
        <f>I33+J33+K33</f>
        <v>9168080.637135379</v>
      </c>
      <c r="R33" s="127">
        <f>L33+M33+N33</f>
        <v>9381650.3535027392</v>
      </c>
      <c r="S33" s="127">
        <f>SUM(O33:R33)</f>
        <v>37133916.666820958</v>
      </c>
      <c r="T33" s="1108">
        <f ca="1">'штат-розп'!R215</f>
        <v>35581678.970580004</v>
      </c>
      <c r="U33" s="1108">
        <f>S33-T33</f>
        <v>1552237.6962409541</v>
      </c>
      <c r="V33" s="1108">
        <f>T18+T25</f>
        <v>1601726.4962409604</v>
      </c>
      <c r="W33" s="1108">
        <f>U33-V33</f>
        <v>-49488.800000006333</v>
      </c>
    </row>
    <row r="34" spans="1:23" s="128" customFormat="1" ht="27" customHeight="1">
      <c r="A34" s="111"/>
      <c r="B34" s="143" t="s">
        <v>1546</v>
      </c>
      <c r="C34" s="127">
        <f>C33*21.5%</f>
        <v>674281.20307363349</v>
      </c>
      <c r="D34" s="127">
        <f t="shared" ref="D34:N34" si="45">D33*21.5%</f>
        <v>671152.62596649071</v>
      </c>
      <c r="E34" s="127">
        <f t="shared" si="45"/>
        <v>673298.11421177362</v>
      </c>
      <c r="F34" s="127">
        <f t="shared" si="45"/>
        <v>658425.51592058246</v>
      </c>
      <c r="G34" s="127">
        <f t="shared" si="45"/>
        <v>659407.83938150166</v>
      </c>
      <c r="H34" s="127">
        <f t="shared" si="45"/>
        <v>659034.62182532926</v>
      </c>
      <c r="I34" s="127">
        <f t="shared" si="45"/>
        <v>657155.55029620079</v>
      </c>
      <c r="J34" s="127">
        <f t="shared" si="45"/>
        <v>657835.90239565726</v>
      </c>
      <c r="K34" s="127">
        <f t="shared" si="45"/>
        <v>656145.88429224817</v>
      </c>
      <c r="L34" s="127">
        <f t="shared" si="45"/>
        <v>672588.01379620074</v>
      </c>
      <c r="M34" s="127">
        <f t="shared" si="45"/>
        <v>671847.1745081573</v>
      </c>
      <c r="N34" s="127">
        <f t="shared" si="45"/>
        <v>672619.63769873104</v>
      </c>
      <c r="O34" s="127">
        <f>C34+D34+E34</f>
        <v>2018731.9432518976</v>
      </c>
      <c r="P34" s="127">
        <f>F34+G34+H34</f>
        <v>1976867.9771274135</v>
      </c>
      <c r="Q34" s="127">
        <f>I34+J34+K34</f>
        <v>1971137.3369841063</v>
      </c>
      <c r="R34" s="127">
        <f>L34+M34+N34</f>
        <v>2017054.8260030891</v>
      </c>
      <c r="S34" s="127">
        <f>SUM(O34:R34)</f>
        <v>7983792.0833665058</v>
      </c>
      <c r="T34" s="1108">
        <f ca="1">Видатки!AU21</f>
        <v>7983792.0833665058</v>
      </c>
      <c r="U34" s="1109"/>
    </row>
    <row r="35" spans="1:23" s="128" customFormat="1" ht="27" customHeight="1">
      <c r="A35" s="111"/>
      <c r="B35" s="143" t="s">
        <v>1547</v>
      </c>
      <c r="C35" s="127">
        <f>C33+C34</f>
        <v>3810472.8452765797</v>
      </c>
      <c r="D35" s="127">
        <f t="shared" ref="D35:N35" si="46">D33+D34</f>
        <v>3792792.746740866</v>
      </c>
      <c r="E35" s="127">
        <f t="shared" si="46"/>
        <v>3804917.2500804882</v>
      </c>
      <c r="F35" s="127">
        <f t="shared" si="46"/>
        <v>3720869.7760163145</v>
      </c>
      <c r="G35" s="127">
        <f t="shared" si="46"/>
        <v>3726421.0458070906</v>
      </c>
      <c r="H35" s="127">
        <f t="shared" si="46"/>
        <v>3724311.9326408142</v>
      </c>
      <c r="I35" s="127">
        <f t="shared" si="46"/>
        <v>3713692.9935343442</v>
      </c>
      <c r="J35" s="127">
        <f t="shared" si="46"/>
        <v>3717537.7740033655</v>
      </c>
      <c r="K35" s="127">
        <f t="shared" si="46"/>
        <v>3707987.2065817746</v>
      </c>
      <c r="L35" s="127">
        <f t="shared" si="46"/>
        <v>3800904.3570343442</v>
      </c>
      <c r="M35" s="127">
        <f t="shared" si="46"/>
        <v>3796717.7536158655</v>
      </c>
      <c r="N35" s="127">
        <f t="shared" si="46"/>
        <v>3801083.0688556195</v>
      </c>
      <c r="O35" s="127">
        <f>C35+D35+E35</f>
        <v>11408182.842097934</v>
      </c>
      <c r="P35" s="127">
        <f>F35+G35+H35</f>
        <v>11171602.75446422</v>
      </c>
      <c r="Q35" s="127">
        <f>I35+J35+K35</f>
        <v>11139217.974119484</v>
      </c>
      <c r="R35" s="127">
        <f>L35+M35+N35</f>
        <v>11398705.179505829</v>
      </c>
      <c r="S35" s="127">
        <f>SUM(O35:R35)</f>
        <v>45117708.750187472</v>
      </c>
      <c r="T35" s="1108">
        <f>T34-S34</f>
        <v>0</v>
      </c>
      <c r="U35" s="1109"/>
    </row>
    <row r="36" spans="1:23" s="1098" customFormat="1" ht="27" customHeight="1">
      <c r="A36" s="1094"/>
      <c r="B36" s="1095" t="s">
        <v>1859</v>
      </c>
      <c r="C36" s="1096" t="s">
        <v>1846</v>
      </c>
      <c r="D36" s="1096" t="s">
        <v>1847</v>
      </c>
      <c r="E36" s="1096" t="s">
        <v>1848</v>
      </c>
      <c r="F36" s="1096" t="s">
        <v>1849</v>
      </c>
      <c r="G36" s="1096" t="s">
        <v>1850</v>
      </c>
      <c r="H36" s="1096" t="s">
        <v>1851</v>
      </c>
      <c r="I36" s="1096" t="s">
        <v>1852</v>
      </c>
      <c r="J36" s="1096" t="s">
        <v>1853</v>
      </c>
      <c r="K36" s="1096" t="s">
        <v>1854</v>
      </c>
      <c r="L36" s="1096" t="s">
        <v>1855</v>
      </c>
      <c r="M36" s="1096" t="s">
        <v>1856</v>
      </c>
      <c r="N36" s="1096" t="s">
        <v>1857</v>
      </c>
      <c r="O36" s="1097" t="s">
        <v>1993</v>
      </c>
      <c r="P36" s="1097" t="s">
        <v>1994</v>
      </c>
      <c r="Q36" s="1097" t="s">
        <v>1995</v>
      </c>
      <c r="R36" s="1097" t="s">
        <v>1996</v>
      </c>
      <c r="S36" s="1097" t="s">
        <v>1997</v>
      </c>
      <c r="T36" s="1101"/>
      <c r="U36" s="1101"/>
    </row>
    <row r="37" spans="1:23" s="123" customFormat="1" ht="27" customHeight="1">
      <c r="A37" s="131"/>
      <c r="B37" s="105" t="s">
        <v>1793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492">
        <f t="shared" ref="O37:O43" si="47">C37+D37+E37</f>
        <v>0</v>
      </c>
      <c r="P37" s="492">
        <f t="shared" ref="P37:P43" si="48">F37+G37+H37</f>
        <v>0</v>
      </c>
      <c r="Q37" s="492">
        <f>I37+J37+K37</f>
        <v>0</v>
      </c>
      <c r="R37" s="492">
        <f>L37+M37+N37</f>
        <v>0</v>
      </c>
      <c r="S37" s="492">
        <f>SUM(O37:R37)</f>
        <v>0</v>
      </c>
      <c r="T37" s="1100"/>
      <c r="U37" s="1100"/>
    </row>
    <row r="38" spans="1:23" s="123" customFormat="1" ht="27" customHeight="1">
      <c r="A38" s="131"/>
      <c r="B38" s="105" t="s">
        <v>1790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492">
        <f t="shared" si="47"/>
        <v>0</v>
      </c>
      <c r="P38" s="492">
        <f t="shared" si="48"/>
        <v>0</v>
      </c>
      <c r="Q38" s="492">
        <f t="shared" ref="Q38:Q43" si="49">I38+J38+K38</f>
        <v>0</v>
      </c>
      <c r="R38" s="492">
        <f t="shared" ref="R38:R43" si="50">L38+M38+N38</f>
        <v>0</v>
      </c>
      <c r="S38" s="492">
        <f t="shared" ref="S38:S43" si="51">SUM(O38:R38)</f>
        <v>0</v>
      </c>
      <c r="T38" s="1100"/>
      <c r="U38" s="1100"/>
    </row>
    <row r="39" spans="1:23" s="123" customFormat="1" ht="27" customHeight="1">
      <c r="A39" s="131"/>
      <c r="B39" s="105" t="s">
        <v>1904</v>
      </c>
      <c r="C39" s="133">
        <f ca="1">'НЧ - СД'!B85</f>
        <v>17753.57410843125</v>
      </c>
      <c r="D39" s="133">
        <f ca="1">'НЧ - СД'!C85</f>
        <v>16035.486291486293</v>
      </c>
      <c r="E39" s="133">
        <f ca="1">'НЧ - СД'!D85</f>
        <v>18641.252813852814</v>
      </c>
      <c r="F39" s="133">
        <f ca="1">'НЧ - СД'!E85</f>
        <v>17180.878169449599</v>
      </c>
      <c r="G39" s="133">
        <f ca="1">'НЧ - СД'!F85</f>
        <v>19622.371383002959</v>
      </c>
      <c r="H39" s="133">
        <f ca="1">'НЧ - СД'!G85</f>
        <v>18989.391660970607</v>
      </c>
      <c r="I39" s="133">
        <f ca="1">'НЧ - СД'!H85</f>
        <v>16209.785055524186</v>
      </c>
      <c r="J39" s="133">
        <f ca="1">'НЧ - СД'!I85</f>
        <v>18641.252813852814</v>
      </c>
      <c r="K39" s="133">
        <f ca="1">'НЧ - СД'!J85</f>
        <v>16399.929161747343</v>
      </c>
      <c r="L39" s="133">
        <f ca="1">'НЧ - СД'!K85</f>
        <v>16708.79578392622</v>
      </c>
      <c r="M39" s="133">
        <f ca="1">'НЧ - СД'!L85</f>
        <v>18595.272727272728</v>
      </c>
      <c r="N39" s="133">
        <f ca="1">'НЧ - СД'!M85</f>
        <v>16708.79578392622</v>
      </c>
      <c r="O39" s="492">
        <f t="shared" si="47"/>
        <v>52430.313213770358</v>
      </c>
      <c r="P39" s="492">
        <f t="shared" si="48"/>
        <v>55792.641213423165</v>
      </c>
      <c r="Q39" s="492">
        <f t="shared" si="49"/>
        <v>51250.967031124346</v>
      </c>
      <c r="R39" s="492">
        <f t="shared" si="50"/>
        <v>52012.864295125168</v>
      </c>
      <c r="S39" s="492">
        <f t="shared" si="51"/>
        <v>211486.78575344302</v>
      </c>
      <c r="T39" s="1100"/>
      <c r="U39" s="1100"/>
    </row>
    <row r="40" spans="1:23" s="123" customFormat="1" ht="27" customHeight="1">
      <c r="A40" s="131"/>
      <c r="B40" s="105" t="s">
        <v>1794</v>
      </c>
      <c r="C40" s="133">
        <f ca="1">'НЧ - СД'!B86</f>
        <v>38994.050711193573</v>
      </c>
      <c r="D40" s="133">
        <f ca="1">'НЧ - СД'!C86</f>
        <v>35220.432900432905</v>
      </c>
      <c r="E40" s="133">
        <f ca="1">'НЧ - СД'!D86</f>
        <v>40943.753246753244</v>
      </c>
      <c r="F40" s="133">
        <f ca="1">'НЧ - СД'!E86</f>
        <v>37736.178107606684</v>
      </c>
      <c r="G40" s="133">
        <f ca="1">'НЧ - СД'!F86</f>
        <v>43098.687628161308</v>
      </c>
      <c r="H40" s="133">
        <f ca="1">'НЧ - СД'!G86</f>
        <v>41708.407382091595</v>
      </c>
      <c r="I40" s="133">
        <f ca="1">'НЧ - СД'!H86</f>
        <v>35603.263692828914</v>
      </c>
      <c r="J40" s="133">
        <f ca="1">'НЧ - СД'!I86</f>
        <v>40943.753246753244</v>
      </c>
      <c r="K40" s="133">
        <f ca="1">'НЧ - СД'!J86</f>
        <v>36020.897284533647</v>
      </c>
      <c r="L40" s="133">
        <f ca="1">'НЧ - СД'!K86</f>
        <v>36698.74872953134</v>
      </c>
      <c r="M40" s="133">
        <f ca="1">'НЧ - СД'!L86</f>
        <v>40842.155844155845</v>
      </c>
      <c r="N40" s="133">
        <f ca="1">'НЧ - СД'!M86</f>
        <v>36698.74872953134</v>
      </c>
      <c r="O40" s="492">
        <f t="shared" si="47"/>
        <v>115158.23685837972</v>
      </c>
      <c r="P40" s="492">
        <f t="shared" si="48"/>
        <v>122543.27311785959</v>
      </c>
      <c r="Q40" s="492">
        <f t="shared" si="49"/>
        <v>112567.91422411581</v>
      </c>
      <c r="R40" s="492">
        <f t="shared" si="50"/>
        <v>114239.65330321851</v>
      </c>
      <c r="S40" s="492">
        <f t="shared" si="51"/>
        <v>464509.07750357362</v>
      </c>
      <c r="T40" s="1100"/>
      <c r="U40" s="1100"/>
    </row>
    <row r="41" spans="1:23" s="123" customFormat="1" ht="27" customHeight="1">
      <c r="A41" s="131"/>
      <c r="B41" s="105" t="s">
        <v>1989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492">
        <f t="shared" si="47"/>
        <v>0</v>
      </c>
      <c r="P41" s="492">
        <f t="shared" si="48"/>
        <v>0</v>
      </c>
      <c r="Q41" s="492">
        <f t="shared" si="49"/>
        <v>0</v>
      </c>
      <c r="R41" s="492">
        <f t="shared" si="50"/>
        <v>0</v>
      </c>
      <c r="S41" s="492">
        <f t="shared" si="51"/>
        <v>0</v>
      </c>
      <c r="T41" s="1100"/>
      <c r="U41" s="1100"/>
    </row>
    <row r="42" spans="1:23" s="123" customFormat="1" ht="27" customHeight="1">
      <c r="A42" s="131"/>
      <c r="B42" s="105" t="s">
        <v>1791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492">
        <f t="shared" si="47"/>
        <v>0</v>
      </c>
      <c r="P42" s="492">
        <f t="shared" si="48"/>
        <v>0</v>
      </c>
      <c r="Q42" s="492">
        <f t="shared" si="49"/>
        <v>0</v>
      </c>
      <c r="R42" s="492">
        <f t="shared" si="50"/>
        <v>0</v>
      </c>
      <c r="S42" s="492">
        <f t="shared" si="51"/>
        <v>0</v>
      </c>
      <c r="T42" s="1100"/>
      <c r="U42" s="1100"/>
    </row>
    <row r="43" spans="1:23" s="136" customFormat="1" ht="27" customHeight="1">
      <c r="A43" s="134"/>
      <c r="B43" s="145" t="s">
        <v>1542</v>
      </c>
      <c r="C43" s="135">
        <f>SUM(C37:C42)</f>
        <v>56747.62481962482</v>
      </c>
      <c r="D43" s="135">
        <f t="shared" ref="D43:N43" si="52">SUM(D37:D42)</f>
        <v>51255.919191919194</v>
      </c>
      <c r="E43" s="135">
        <f t="shared" si="52"/>
        <v>59585.006060606058</v>
      </c>
      <c r="F43" s="135">
        <f t="shared" si="52"/>
        <v>54917.056277056283</v>
      </c>
      <c r="G43" s="135">
        <f t="shared" si="52"/>
        <v>62721.059011164267</v>
      </c>
      <c r="H43" s="135">
        <f t="shared" si="52"/>
        <v>60697.799043062201</v>
      </c>
      <c r="I43" s="135">
        <f t="shared" si="52"/>
        <v>51813.048748353103</v>
      </c>
      <c r="J43" s="135">
        <f t="shared" si="52"/>
        <v>59585.006060606058</v>
      </c>
      <c r="K43" s="135">
        <f t="shared" si="52"/>
        <v>52420.826446280989</v>
      </c>
      <c r="L43" s="135">
        <f t="shared" si="52"/>
        <v>53407.544513457557</v>
      </c>
      <c r="M43" s="135">
        <f t="shared" si="52"/>
        <v>59437.428571428572</v>
      </c>
      <c r="N43" s="135">
        <f t="shared" si="52"/>
        <v>53407.544513457557</v>
      </c>
      <c r="O43" s="492">
        <f t="shared" si="47"/>
        <v>167588.55007215007</v>
      </c>
      <c r="P43" s="492">
        <f t="shared" si="48"/>
        <v>178335.91433128275</v>
      </c>
      <c r="Q43" s="492">
        <f t="shared" si="49"/>
        <v>163818.88125524015</v>
      </c>
      <c r="R43" s="492">
        <f t="shared" si="50"/>
        <v>166252.51759834366</v>
      </c>
      <c r="S43" s="492">
        <f t="shared" si="51"/>
        <v>675995.86325701664</v>
      </c>
      <c r="T43" s="1102"/>
      <c r="U43" s="1102"/>
    </row>
    <row r="44" spans="1:23" s="1098" customFormat="1" ht="27" customHeight="1">
      <c r="A44" s="1094"/>
      <c r="B44" s="1095" t="s">
        <v>1859</v>
      </c>
      <c r="C44" s="1096" t="s">
        <v>1846</v>
      </c>
      <c r="D44" s="1096" t="s">
        <v>1847</v>
      </c>
      <c r="E44" s="1096" t="s">
        <v>1848</v>
      </c>
      <c r="F44" s="1096" t="s">
        <v>1849</v>
      </c>
      <c r="G44" s="1096" t="s">
        <v>1850</v>
      </c>
      <c r="H44" s="1096" t="s">
        <v>1851</v>
      </c>
      <c r="I44" s="1096" t="s">
        <v>1852</v>
      </c>
      <c r="J44" s="1096" t="s">
        <v>1853</v>
      </c>
      <c r="K44" s="1096" t="s">
        <v>1854</v>
      </c>
      <c r="L44" s="1096" t="s">
        <v>1855</v>
      </c>
      <c r="M44" s="1096" t="s">
        <v>1856</v>
      </c>
      <c r="N44" s="1096" t="s">
        <v>1857</v>
      </c>
      <c r="O44" s="1097" t="s">
        <v>1993</v>
      </c>
      <c r="P44" s="1097" t="s">
        <v>1994</v>
      </c>
      <c r="Q44" s="1097" t="s">
        <v>1995</v>
      </c>
      <c r="R44" s="1097" t="s">
        <v>1996</v>
      </c>
      <c r="S44" s="1097" t="s">
        <v>1997</v>
      </c>
      <c r="T44" s="1101"/>
      <c r="U44" s="1101"/>
    </row>
    <row r="45" spans="1:23" s="123" customFormat="1" ht="27" customHeight="1">
      <c r="A45" s="131"/>
      <c r="B45" s="105" t="s">
        <v>1793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492">
        <f t="shared" ref="O45:O51" si="53">C45+D45+E45</f>
        <v>0</v>
      </c>
      <c r="P45" s="492">
        <f t="shared" ref="P45:P51" si="54">F45+G45+H45</f>
        <v>0</v>
      </c>
      <c r="Q45" s="492">
        <f>I45+J45+K45</f>
        <v>0</v>
      </c>
      <c r="R45" s="492">
        <f>L45+M45+N45</f>
        <v>0</v>
      </c>
      <c r="S45" s="492">
        <f>SUM(O45:R45)</f>
        <v>0</v>
      </c>
      <c r="T45" s="1100"/>
      <c r="U45" s="1100"/>
    </row>
    <row r="46" spans="1:23" s="123" customFormat="1" ht="27" customHeight="1">
      <c r="A46" s="131"/>
      <c r="B46" s="105" t="s">
        <v>1790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492">
        <f t="shared" si="53"/>
        <v>0</v>
      </c>
      <c r="P46" s="492">
        <f t="shared" si="54"/>
        <v>0</v>
      </c>
      <c r="Q46" s="492">
        <f t="shared" ref="Q46:Q51" si="55">I46+J46+K46</f>
        <v>0</v>
      </c>
      <c r="R46" s="492">
        <f t="shared" ref="R46:R51" si="56">L46+M46+N46</f>
        <v>0</v>
      </c>
      <c r="S46" s="492">
        <f t="shared" ref="S46:S51" si="57">SUM(O46:R46)</f>
        <v>0</v>
      </c>
      <c r="T46" s="1100"/>
      <c r="U46" s="1100"/>
    </row>
    <row r="47" spans="1:23" s="123" customFormat="1" ht="27" customHeight="1">
      <c r="A47" s="131"/>
      <c r="B47" s="105" t="s">
        <v>1904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492">
        <f t="shared" si="53"/>
        <v>0</v>
      </c>
      <c r="P47" s="492">
        <f t="shared" si="54"/>
        <v>0</v>
      </c>
      <c r="Q47" s="492">
        <f t="shared" si="55"/>
        <v>0</v>
      </c>
      <c r="R47" s="492">
        <f t="shared" si="56"/>
        <v>0</v>
      </c>
      <c r="S47" s="492">
        <f t="shared" si="57"/>
        <v>0</v>
      </c>
      <c r="T47" s="1100"/>
      <c r="U47" s="1100"/>
    </row>
    <row r="48" spans="1:23" s="123" customFormat="1" ht="27" customHeight="1">
      <c r="A48" s="131"/>
      <c r="B48" s="105" t="s">
        <v>1794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492">
        <f t="shared" si="53"/>
        <v>0</v>
      </c>
      <c r="P48" s="492">
        <f t="shared" si="54"/>
        <v>0</v>
      </c>
      <c r="Q48" s="492">
        <f t="shared" si="55"/>
        <v>0</v>
      </c>
      <c r="R48" s="492">
        <f t="shared" si="56"/>
        <v>0</v>
      </c>
      <c r="S48" s="492">
        <f t="shared" si="57"/>
        <v>0</v>
      </c>
      <c r="T48" s="1100"/>
      <c r="U48" s="1100"/>
    </row>
    <row r="49" spans="1:21" s="123" customFormat="1" ht="27" customHeight="1">
      <c r="A49" s="131"/>
      <c r="B49" s="105" t="s">
        <v>1989</v>
      </c>
      <c r="C49" s="133">
        <f ca="1">'НЧ - СД'!B87</f>
        <v>17387.014285714286</v>
      </c>
      <c r="D49" s="133">
        <f ca="1">'НЧ - СД'!C87</f>
        <v>15704.4</v>
      </c>
      <c r="E49" s="133">
        <f ca="1">'НЧ - СД'!D87</f>
        <v>18371.184905660379</v>
      </c>
      <c r="F49" s="133">
        <f ca="1">'НЧ - СД'!E87</f>
        <v>16926.898203592813</v>
      </c>
      <c r="G49" s="133">
        <f ca="1">'НЧ - СД'!F87</f>
        <v>19344.49271523179</v>
      </c>
      <c r="H49" s="133">
        <f ca="1">'НЧ - СД'!G87</f>
        <v>18200.598961018361</v>
      </c>
      <c r="I49" s="133">
        <f ca="1">'НЧ - СД'!H87</f>
        <v>15875.099999999999</v>
      </c>
      <c r="J49" s="133">
        <f ca="1">'НЧ - СД'!I87</f>
        <v>18256.364999999998</v>
      </c>
      <c r="K49" s="133">
        <f ca="1">'НЧ - СД'!J87</f>
        <v>16061.318181818182</v>
      </c>
      <c r="L49" s="133">
        <f ca="1">'НЧ - СД'!K87</f>
        <v>16363.349999999999</v>
      </c>
      <c r="M49" s="133">
        <f ca="1">'НЧ - СД'!L87</f>
        <v>18210.824999999997</v>
      </c>
      <c r="N49" s="133">
        <f ca="1">'НЧ - СД'!M87</f>
        <v>16452.767213114756</v>
      </c>
      <c r="O49" s="492">
        <f t="shared" si="53"/>
        <v>51462.599191374669</v>
      </c>
      <c r="P49" s="492">
        <f t="shared" si="54"/>
        <v>54471.989879842964</v>
      </c>
      <c r="Q49" s="492">
        <f t="shared" si="55"/>
        <v>50192.78318181818</v>
      </c>
      <c r="R49" s="492">
        <f t="shared" si="56"/>
        <v>51026.942213114751</v>
      </c>
      <c r="S49" s="492">
        <f t="shared" si="57"/>
        <v>207154.31446615056</v>
      </c>
      <c r="T49" s="1100"/>
      <c r="U49" s="1100"/>
    </row>
    <row r="50" spans="1:21" s="123" customFormat="1" ht="27" customHeight="1">
      <c r="A50" s="131"/>
      <c r="B50" s="105" t="s">
        <v>1791</v>
      </c>
      <c r="C50" s="133">
        <f ca="1">'НЧ - СД'!B88</f>
        <v>5022.5166666666664</v>
      </c>
      <c r="D50" s="133">
        <f ca="1">'НЧ - СД'!C88</f>
        <v>4536.4666666666672</v>
      </c>
      <c r="E50" s="133">
        <f ca="1">'НЧ - СД'!D88</f>
        <v>5306.8100628930815</v>
      </c>
      <c r="F50" s="133">
        <f ca="1">'НЧ - СД'!E88</f>
        <v>4889.604790419161</v>
      </c>
      <c r="G50" s="133">
        <f ca="1">'НЧ - СД'!F88</f>
        <v>1662.996026490066</v>
      </c>
      <c r="H50" s="133">
        <f ca="1">'НЧ - СД'!G88</f>
        <v>1455.1616766467064</v>
      </c>
      <c r="I50" s="133">
        <f ca="1">'НЧ - СД'!H88</f>
        <v>1364.7413043478261</v>
      </c>
      <c r="J50" s="133">
        <f ca="1">'НЧ - СД'!I88</f>
        <v>1569.4524999999999</v>
      </c>
      <c r="K50" s="133">
        <f ca="1">'НЧ - СД'!J88</f>
        <v>1380.75</v>
      </c>
      <c r="L50" s="133">
        <f ca="1">'НЧ - СД'!K88</f>
        <v>4726.826086956522</v>
      </c>
      <c r="M50" s="133">
        <f ca="1">'НЧ - СД'!L88</f>
        <v>5260.4999999999991</v>
      </c>
      <c r="N50" s="133">
        <f ca="1">'НЧ - СД'!M88</f>
        <v>4752.6557377049176</v>
      </c>
      <c r="O50" s="492">
        <f t="shared" si="53"/>
        <v>14865.793396226414</v>
      </c>
      <c r="P50" s="492">
        <f t="shared" si="54"/>
        <v>8007.7624935559343</v>
      </c>
      <c r="Q50" s="492">
        <f t="shared" si="55"/>
        <v>4314.9438043478258</v>
      </c>
      <c r="R50" s="492">
        <f t="shared" si="56"/>
        <v>14739.981824661438</v>
      </c>
      <c r="S50" s="492">
        <f t="shared" si="57"/>
        <v>41928.48151879161</v>
      </c>
      <c r="T50" s="1100"/>
      <c r="U50" s="1100"/>
    </row>
    <row r="51" spans="1:21" s="136" customFormat="1" ht="27" customHeight="1">
      <c r="A51" s="134"/>
      <c r="B51" s="145" t="s">
        <v>1542</v>
      </c>
      <c r="C51" s="135">
        <f t="shared" ref="C51:N51" si="58">SUM(C45:C50)</f>
        <v>22409.530952380952</v>
      </c>
      <c r="D51" s="135">
        <f t="shared" si="58"/>
        <v>20240.866666666669</v>
      </c>
      <c r="E51" s="135">
        <f t="shared" si="58"/>
        <v>23677.994968553459</v>
      </c>
      <c r="F51" s="135">
        <f t="shared" si="58"/>
        <v>21816.502994011975</v>
      </c>
      <c r="G51" s="135">
        <f t="shared" si="58"/>
        <v>21007.488741721856</v>
      </c>
      <c r="H51" s="135">
        <f t="shared" si="58"/>
        <v>19655.760637665066</v>
      </c>
      <c r="I51" s="135">
        <f t="shared" si="58"/>
        <v>17239.841304347825</v>
      </c>
      <c r="J51" s="135">
        <f t="shared" si="58"/>
        <v>19825.817499999997</v>
      </c>
      <c r="K51" s="135">
        <f t="shared" si="58"/>
        <v>17442.068181818184</v>
      </c>
      <c r="L51" s="135">
        <f t="shared" si="58"/>
        <v>21090.176086956519</v>
      </c>
      <c r="M51" s="135">
        <f t="shared" si="58"/>
        <v>23471.324999999997</v>
      </c>
      <c r="N51" s="135">
        <f t="shared" si="58"/>
        <v>21205.422950819673</v>
      </c>
      <c r="O51" s="492">
        <f t="shared" si="53"/>
        <v>66328.392587601091</v>
      </c>
      <c r="P51" s="492">
        <f t="shared" si="54"/>
        <v>62479.752373398893</v>
      </c>
      <c r="Q51" s="492">
        <f t="shared" si="55"/>
        <v>54507.72698616601</v>
      </c>
      <c r="R51" s="492">
        <f t="shared" si="56"/>
        <v>65766.924037776189</v>
      </c>
      <c r="S51" s="492">
        <f t="shared" si="57"/>
        <v>249082.79598494217</v>
      </c>
      <c r="T51" s="1102"/>
      <c r="U51" s="1102"/>
    </row>
    <row r="52" spans="1:21" s="138" customFormat="1" ht="27" customHeight="1">
      <c r="A52" s="137"/>
      <c r="B52" s="146" t="s">
        <v>1858</v>
      </c>
      <c r="C52" s="114" t="s">
        <v>1846</v>
      </c>
      <c r="D52" s="114" t="s">
        <v>1847</v>
      </c>
      <c r="E52" s="114" t="s">
        <v>1848</v>
      </c>
      <c r="F52" s="114" t="s">
        <v>1849</v>
      </c>
      <c r="G52" s="114" t="s">
        <v>1850</v>
      </c>
      <c r="H52" s="114" t="s">
        <v>1851</v>
      </c>
      <c r="I52" s="114" t="s">
        <v>1852</v>
      </c>
      <c r="J52" s="114" t="s">
        <v>1853</v>
      </c>
      <c r="K52" s="114" t="s">
        <v>1854</v>
      </c>
      <c r="L52" s="114" t="s">
        <v>1855</v>
      </c>
      <c r="M52" s="114" t="s">
        <v>1856</v>
      </c>
      <c r="N52" s="114" t="s">
        <v>1857</v>
      </c>
      <c r="O52" s="493" t="s">
        <v>1993</v>
      </c>
      <c r="P52" s="493" t="s">
        <v>1994</v>
      </c>
      <c r="Q52" s="493" t="s">
        <v>1995</v>
      </c>
      <c r="R52" s="493" t="s">
        <v>1996</v>
      </c>
      <c r="S52" s="493" t="s">
        <v>1997</v>
      </c>
      <c r="T52" s="1101"/>
      <c r="U52" s="1101"/>
    </row>
    <row r="53" spans="1:21" s="123" customFormat="1" ht="27" customHeight="1">
      <c r="A53" s="131"/>
      <c r="B53" s="105" t="s">
        <v>1793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492">
        <f t="shared" ref="O53:O59" si="59">C53+D53+E53</f>
        <v>0</v>
      </c>
      <c r="P53" s="492">
        <f>F53+G53+H53</f>
        <v>0</v>
      </c>
      <c r="Q53" s="492">
        <f>I53+J53+K53</f>
        <v>0</v>
      </c>
      <c r="R53" s="492">
        <f>L53+M53+N53</f>
        <v>0</v>
      </c>
      <c r="S53" s="492">
        <f>SUM(O53:R53)</f>
        <v>0</v>
      </c>
      <c r="T53" s="1100"/>
      <c r="U53" s="1100"/>
    </row>
    <row r="54" spans="1:21" s="123" customFormat="1" ht="27" customHeight="1">
      <c r="A54" s="131"/>
      <c r="B54" s="105" t="s">
        <v>1790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492">
        <f t="shared" si="59"/>
        <v>0</v>
      </c>
      <c r="P54" s="492">
        <f t="shared" ref="P54:P59" si="60">F54+G54+H54</f>
        <v>0</v>
      </c>
      <c r="Q54" s="492">
        <f t="shared" ref="Q54:Q59" si="61">I54+J54+K54</f>
        <v>0</v>
      </c>
      <c r="R54" s="492">
        <f t="shared" ref="R54:R59" si="62">L54+M54+N54</f>
        <v>0</v>
      </c>
      <c r="S54" s="492">
        <f t="shared" ref="S54:S59" si="63">SUM(O54:R54)</f>
        <v>0</v>
      </c>
      <c r="T54" s="1100"/>
      <c r="U54" s="1100"/>
    </row>
    <row r="55" spans="1:21" s="123" customFormat="1" ht="27" customHeight="1">
      <c r="A55" s="131"/>
      <c r="B55" s="105" t="s">
        <v>1904</v>
      </c>
      <c r="C55" s="133">
        <f ca="1">'НЧ - СД'!B25</f>
        <v>8146.7408781694503</v>
      </c>
      <c r="D55" s="133">
        <f ca="1">'НЧ - СД'!C25</f>
        <v>0</v>
      </c>
      <c r="E55" s="133">
        <f ca="1">'НЧ - СД'!D25</f>
        <v>4277.0389610389611</v>
      </c>
      <c r="F55" s="133">
        <f ca="1">'НЧ - СД'!E25</f>
        <v>4073.3704390847251</v>
      </c>
      <c r="G55" s="133">
        <f ca="1">'НЧ - СД'!F25</f>
        <v>9004.2925495557065</v>
      </c>
      <c r="H55" s="133">
        <f ca="1">'НЧ - СД'!G25</f>
        <v>9004.2925495557065</v>
      </c>
      <c r="I55" s="133">
        <f ca="1">'НЧ - СД'!H25</f>
        <v>3719.1643139469224</v>
      </c>
      <c r="J55" s="133">
        <f ca="1">'НЧ - СД'!I25</f>
        <v>4277.0389610389611</v>
      </c>
      <c r="K55" s="133">
        <f ca="1">'НЧ - СД'!J25</f>
        <v>0</v>
      </c>
      <c r="L55" s="133">
        <f ca="1">'НЧ - СД'!K25</f>
        <v>3833.675889328063</v>
      </c>
      <c r="M55" s="133">
        <f ca="1">'НЧ - СД'!L25</f>
        <v>0</v>
      </c>
      <c r="N55" s="133">
        <f ca="1">'НЧ - СД'!M25</f>
        <v>3833.675889328063</v>
      </c>
      <c r="O55" s="492">
        <f t="shared" si="59"/>
        <v>12423.779839208411</v>
      </c>
      <c r="P55" s="492">
        <f>F55+G55+H55</f>
        <v>22081.95553819614</v>
      </c>
      <c r="Q55" s="492">
        <f t="shared" si="61"/>
        <v>7996.2032749858836</v>
      </c>
      <c r="R55" s="492">
        <f t="shared" si="62"/>
        <v>7667.351778656126</v>
      </c>
      <c r="S55" s="492">
        <f t="shared" si="63"/>
        <v>50169.29043104656</v>
      </c>
      <c r="T55" s="1100"/>
      <c r="U55" s="1100"/>
    </row>
    <row r="56" spans="1:21" s="123" customFormat="1" ht="27" customHeight="1">
      <c r="A56" s="131"/>
      <c r="B56" s="105" t="s">
        <v>1794</v>
      </c>
      <c r="C56" s="133">
        <f ca="1">'НЧ - СД'!B26</f>
        <v>18214.471243042673</v>
      </c>
      <c r="D56" s="133">
        <f ca="1">'НЧ - СД'!C26</f>
        <v>0</v>
      </c>
      <c r="E56" s="133">
        <f ca="1">'НЧ - СД'!D26</f>
        <v>9562.5974025974028</v>
      </c>
      <c r="F56" s="133">
        <f ca="1">'НЧ - СД'!E26</f>
        <v>9107.2356215213367</v>
      </c>
      <c r="G56" s="133">
        <f ca="1">'НЧ - СД'!F26</f>
        <v>20131.784005468216</v>
      </c>
      <c r="H56" s="133">
        <f ca="1">'НЧ - СД'!G26</f>
        <v>20131.784005468216</v>
      </c>
      <c r="I56" s="133">
        <f ca="1">'НЧ - СД'!H26</f>
        <v>8315.3020892151326</v>
      </c>
      <c r="J56" s="133">
        <f ca="1">'НЧ - СД'!I26</f>
        <v>9562.5974025974028</v>
      </c>
      <c r="K56" s="133">
        <f ca="1">'НЧ - СД'!J26</f>
        <v>0</v>
      </c>
      <c r="L56" s="133">
        <f ca="1">'НЧ - СД'!K26</f>
        <v>8571.157538114061</v>
      </c>
      <c r="M56" s="133">
        <f ca="1">'НЧ - СД'!L26</f>
        <v>0</v>
      </c>
      <c r="N56" s="133">
        <f ca="1">'НЧ - СД'!M26</f>
        <v>8571.157538114061</v>
      </c>
      <c r="O56" s="492">
        <f t="shared" si="59"/>
        <v>27777.068645640076</v>
      </c>
      <c r="P56" s="492">
        <f t="shared" si="60"/>
        <v>49370.80363245777</v>
      </c>
      <c r="Q56" s="492">
        <f t="shared" si="61"/>
        <v>17877.899491812535</v>
      </c>
      <c r="R56" s="492">
        <f t="shared" si="62"/>
        <v>17142.315076228122</v>
      </c>
      <c r="S56" s="492">
        <f t="shared" si="63"/>
        <v>112168.0868461385</v>
      </c>
      <c r="T56" s="1100"/>
      <c r="U56" s="1100"/>
    </row>
    <row r="57" spans="1:21" s="123" customFormat="1" ht="27" customHeight="1">
      <c r="A57" s="131"/>
      <c r="B57" s="105" t="s">
        <v>1989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492">
        <f t="shared" si="59"/>
        <v>0</v>
      </c>
      <c r="P57" s="492">
        <f t="shared" si="60"/>
        <v>0</v>
      </c>
      <c r="Q57" s="492">
        <f t="shared" si="61"/>
        <v>0</v>
      </c>
      <c r="R57" s="492">
        <f t="shared" si="62"/>
        <v>0</v>
      </c>
      <c r="S57" s="492">
        <f t="shared" si="63"/>
        <v>0</v>
      </c>
      <c r="T57" s="1100"/>
      <c r="U57" s="1100"/>
    </row>
    <row r="58" spans="1:21" s="123" customFormat="1" ht="27" customHeight="1">
      <c r="A58" s="131"/>
      <c r="B58" s="105" t="s">
        <v>1791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492">
        <f t="shared" si="59"/>
        <v>0</v>
      </c>
      <c r="P58" s="492">
        <f t="shared" si="60"/>
        <v>0</v>
      </c>
      <c r="Q58" s="492">
        <f t="shared" si="61"/>
        <v>0</v>
      </c>
      <c r="R58" s="492">
        <f t="shared" si="62"/>
        <v>0</v>
      </c>
      <c r="S58" s="492">
        <f t="shared" si="63"/>
        <v>0</v>
      </c>
      <c r="T58" s="1100"/>
      <c r="U58" s="1100"/>
    </row>
    <row r="59" spans="1:21" s="136" customFormat="1" ht="27" customHeight="1">
      <c r="A59" s="134"/>
      <c r="B59" s="145" t="s">
        <v>1542</v>
      </c>
      <c r="C59" s="135">
        <f>SUM(C53:C58)</f>
        <v>26361.212121212124</v>
      </c>
      <c r="D59" s="135">
        <f t="shared" ref="D59:N59" si="64">SUM(D53:D58)</f>
        <v>0</v>
      </c>
      <c r="E59" s="135">
        <f t="shared" si="64"/>
        <v>13839.636363636364</v>
      </c>
      <c r="F59" s="135">
        <f t="shared" si="64"/>
        <v>13180.606060606062</v>
      </c>
      <c r="G59" s="135">
        <f t="shared" si="64"/>
        <v>29136.076555023923</v>
      </c>
      <c r="H59" s="135">
        <f t="shared" si="64"/>
        <v>29136.076555023923</v>
      </c>
      <c r="I59" s="135">
        <f t="shared" si="64"/>
        <v>12034.466403162056</v>
      </c>
      <c r="J59" s="135">
        <f t="shared" si="64"/>
        <v>13839.636363636364</v>
      </c>
      <c r="K59" s="135">
        <f t="shared" si="64"/>
        <v>0</v>
      </c>
      <c r="L59" s="135">
        <f t="shared" si="64"/>
        <v>12404.833427442125</v>
      </c>
      <c r="M59" s="135">
        <f t="shared" si="64"/>
        <v>0</v>
      </c>
      <c r="N59" s="135">
        <f t="shared" si="64"/>
        <v>12404.833427442125</v>
      </c>
      <c r="O59" s="492">
        <f t="shared" si="59"/>
        <v>40200.848484848488</v>
      </c>
      <c r="P59" s="492">
        <f t="shared" si="60"/>
        <v>71452.75917065391</v>
      </c>
      <c r="Q59" s="492">
        <f t="shared" si="61"/>
        <v>25874.10276679842</v>
      </c>
      <c r="R59" s="492">
        <f t="shared" si="62"/>
        <v>24809.66685488425</v>
      </c>
      <c r="S59" s="492">
        <f t="shared" si="63"/>
        <v>162337.37727718506</v>
      </c>
      <c r="T59" s="1102"/>
      <c r="U59" s="1102"/>
    </row>
    <row r="60" spans="1:21" s="138" customFormat="1" ht="27" customHeight="1">
      <c r="A60" s="137"/>
      <c r="B60" s="146" t="s">
        <v>1858</v>
      </c>
      <c r="C60" s="114" t="s">
        <v>1846</v>
      </c>
      <c r="D60" s="114" t="s">
        <v>1847</v>
      </c>
      <c r="E60" s="114" t="s">
        <v>1848</v>
      </c>
      <c r="F60" s="114" t="s">
        <v>1849</v>
      </c>
      <c r="G60" s="114" t="s">
        <v>1850</v>
      </c>
      <c r="H60" s="114" t="s">
        <v>1851</v>
      </c>
      <c r="I60" s="114" t="s">
        <v>1852</v>
      </c>
      <c r="J60" s="114" t="s">
        <v>1853</v>
      </c>
      <c r="K60" s="114" t="s">
        <v>1854</v>
      </c>
      <c r="L60" s="114" t="s">
        <v>1855</v>
      </c>
      <c r="M60" s="114" t="s">
        <v>1856</v>
      </c>
      <c r="N60" s="114" t="s">
        <v>1857</v>
      </c>
      <c r="O60" s="493" t="s">
        <v>1993</v>
      </c>
      <c r="P60" s="493" t="s">
        <v>1994</v>
      </c>
      <c r="Q60" s="493" t="s">
        <v>1995</v>
      </c>
      <c r="R60" s="493" t="s">
        <v>1996</v>
      </c>
      <c r="S60" s="493" t="s">
        <v>1997</v>
      </c>
      <c r="T60" s="1101"/>
      <c r="U60" s="1101"/>
    </row>
    <row r="61" spans="1:21" s="123" customFormat="1" ht="27" customHeight="1">
      <c r="A61" s="131"/>
      <c r="B61" s="105" t="s">
        <v>1793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492">
        <f t="shared" ref="O61:O67" si="65">C61+D61+E61</f>
        <v>0</v>
      </c>
      <c r="P61" s="492">
        <f t="shared" ref="P61:P67" si="66">F61+G61+H61</f>
        <v>0</v>
      </c>
      <c r="Q61" s="492">
        <f>I61+J61+K61</f>
        <v>0</v>
      </c>
      <c r="R61" s="492">
        <f>L61+M61+N61</f>
        <v>0</v>
      </c>
      <c r="S61" s="492">
        <f>SUM(O61:R61)</f>
        <v>0</v>
      </c>
      <c r="T61" s="1100"/>
      <c r="U61" s="1100"/>
    </row>
    <row r="62" spans="1:21" s="123" customFormat="1" ht="27" customHeight="1">
      <c r="A62" s="131"/>
      <c r="B62" s="105" t="s">
        <v>1790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492">
        <f t="shared" si="65"/>
        <v>0</v>
      </c>
      <c r="P62" s="492">
        <f t="shared" si="66"/>
        <v>0</v>
      </c>
      <c r="Q62" s="492">
        <f t="shared" ref="Q62:Q67" si="67">I62+J62+K62</f>
        <v>0</v>
      </c>
      <c r="R62" s="492">
        <f t="shared" ref="R62:R67" si="68">L62+M62+N62</f>
        <v>0</v>
      </c>
      <c r="S62" s="492">
        <f t="shared" ref="S62:S67" si="69">SUM(O62:R62)</f>
        <v>0</v>
      </c>
      <c r="T62" s="1100"/>
      <c r="U62" s="1100"/>
    </row>
    <row r="63" spans="1:21" s="123" customFormat="1" ht="27" customHeight="1">
      <c r="A63" s="131"/>
      <c r="B63" s="105" t="s">
        <v>1904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492">
        <f t="shared" si="65"/>
        <v>0</v>
      </c>
      <c r="P63" s="492">
        <f t="shared" si="66"/>
        <v>0</v>
      </c>
      <c r="Q63" s="492">
        <f t="shared" si="67"/>
        <v>0</v>
      </c>
      <c r="R63" s="492">
        <f t="shared" si="68"/>
        <v>0</v>
      </c>
      <c r="S63" s="492">
        <f t="shared" si="69"/>
        <v>0</v>
      </c>
      <c r="T63" s="1100"/>
      <c r="U63" s="1100"/>
    </row>
    <row r="64" spans="1:21" s="123" customFormat="1" ht="27" customHeight="1">
      <c r="A64" s="131"/>
      <c r="B64" s="105" t="s">
        <v>1794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492">
        <f t="shared" si="65"/>
        <v>0</v>
      </c>
      <c r="P64" s="492">
        <f t="shared" si="66"/>
        <v>0</v>
      </c>
      <c r="Q64" s="492">
        <f t="shared" si="67"/>
        <v>0</v>
      </c>
      <c r="R64" s="492">
        <f t="shared" si="68"/>
        <v>0</v>
      </c>
      <c r="S64" s="492">
        <f t="shared" si="69"/>
        <v>0</v>
      </c>
      <c r="T64" s="1100"/>
      <c r="U64" s="1100"/>
    </row>
    <row r="65" spans="1:21" s="123" customFormat="1" ht="27" customHeight="1">
      <c r="A65" s="131"/>
      <c r="B65" s="105" t="s">
        <v>1989</v>
      </c>
      <c r="C65" s="133">
        <f ca="1">'НЧ - СД'!B27</f>
        <v>8778.8571428571449</v>
      </c>
      <c r="D65" s="133">
        <f ca="1">'НЧ - СД'!C27</f>
        <v>0</v>
      </c>
      <c r="E65" s="133">
        <f ca="1">'НЧ - СД'!D27</f>
        <v>4637.8867924528304</v>
      </c>
      <c r="F65" s="133">
        <f ca="1">'НЧ - СД'!E27</f>
        <v>4415.7125748502995</v>
      </c>
      <c r="G65" s="133">
        <f ca="1">'НЧ - СД'!F27</f>
        <v>9767.2052980132466</v>
      </c>
      <c r="H65" s="133">
        <f ca="1">'НЧ - СД'!G27</f>
        <v>9559.254153943768</v>
      </c>
      <c r="I65" s="133">
        <f ca="1">'НЧ - СД'!H27</f>
        <v>4007.739130434783</v>
      </c>
      <c r="J65" s="133">
        <f ca="1">'НЧ - СД'!I27</f>
        <v>4608.8999999999996</v>
      </c>
      <c r="K65" s="133">
        <f ca="1">'НЧ - СД'!J27</f>
        <v>0</v>
      </c>
      <c r="L65" s="133">
        <f ca="1">'НЧ - СД'!K27</f>
        <v>4131</v>
      </c>
      <c r="M65" s="133">
        <f ca="1">'НЧ - СД'!L27</f>
        <v>0</v>
      </c>
      <c r="N65" s="133">
        <f ca="1">'НЧ - СД'!M27</f>
        <v>4153.5737704918038</v>
      </c>
      <c r="O65" s="492">
        <f t="shared" si="65"/>
        <v>13416.743935309976</v>
      </c>
      <c r="P65" s="492">
        <f t="shared" si="66"/>
        <v>23742.172026807311</v>
      </c>
      <c r="Q65" s="492">
        <f t="shared" si="67"/>
        <v>8616.6391304347817</v>
      </c>
      <c r="R65" s="492">
        <f t="shared" si="68"/>
        <v>8284.5737704918029</v>
      </c>
      <c r="S65" s="492">
        <f t="shared" si="69"/>
        <v>54060.128863043865</v>
      </c>
      <c r="T65" s="1100"/>
      <c r="U65" s="1100"/>
    </row>
    <row r="66" spans="1:21" s="123" customFormat="1" ht="27" customHeight="1">
      <c r="A66" s="131"/>
      <c r="B66" s="105" t="s">
        <v>1791</v>
      </c>
      <c r="C66" s="133">
        <f ca="1">'НЧ - СД'!B28</f>
        <v>3604</v>
      </c>
      <c r="D66" s="133">
        <f ca="1">'НЧ - СД'!C28</f>
        <v>0</v>
      </c>
      <c r="E66" s="133">
        <f ca="1">'НЧ - СД'!D28</f>
        <v>1904</v>
      </c>
      <c r="F66" s="133">
        <f ca="1">'НЧ - СД'!E28</f>
        <v>1812.7904191616765</v>
      </c>
      <c r="G66" s="133">
        <f ca="1">'НЧ - СД'!F28</f>
        <v>1839.2582781456954</v>
      </c>
      <c r="H66" s="133">
        <f ca="1">'НЧ - СД'!G28</f>
        <v>1663.0419161676646</v>
      </c>
      <c r="I66" s="133">
        <f ca="1">'НЧ - СД'!H28</f>
        <v>890.60869565217399</v>
      </c>
      <c r="J66" s="133">
        <f ca="1">'НЧ - СД'!I28</f>
        <v>867.90000000000009</v>
      </c>
      <c r="K66" s="133">
        <f ca="1">'НЧ - СД'!J28</f>
        <v>0</v>
      </c>
      <c r="L66" s="133">
        <f ca="1">'НЧ - СД'!K28</f>
        <v>1695.913043478261</v>
      </c>
      <c r="M66" s="133">
        <f ca="1">'НЧ - СД'!L28</f>
        <v>0</v>
      </c>
      <c r="N66" s="133">
        <f ca="1">'НЧ - СД'!M28</f>
        <v>1705.1803278688524</v>
      </c>
      <c r="O66" s="492">
        <f t="shared" si="65"/>
        <v>5508</v>
      </c>
      <c r="P66" s="492">
        <f t="shared" si="66"/>
        <v>5315.0906134750367</v>
      </c>
      <c r="Q66" s="492">
        <f t="shared" si="67"/>
        <v>1758.5086956521741</v>
      </c>
      <c r="R66" s="492">
        <f t="shared" si="68"/>
        <v>3401.0933713471131</v>
      </c>
      <c r="S66" s="492">
        <f t="shared" si="69"/>
        <v>15982.692680474323</v>
      </c>
      <c r="T66" s="1100"/>
      <c r="U66" s="1100"/>
    </row>
    <row r="67" spans="1:21" s="136" customFormat="1" ht="27" customHeight="1">
      <c r="A67" s="134"/>
      <c r="B67" s="145" t="s">
        <v>1542</v>
      </c>
      <c r="C67" s="135">
        <f t="shared" ref="C67:N67" si="70">SUM(C61:C66)</f>
        <v>12382.857142857145</v>
      </c>
      <c r="D67" s="135">
        <f t="shared" si="70"/>
        <v>0</v>
      </c>
      <c r="E67" s="135">
        <f t="shared" si="70"/>
        <v>6541.8867924528304</v>
      </c>
      <c r="F67" s="135">
        <f t="shared" si="70"/>
        <v>6228.5029940119757</v>
      </c>
      <c r="G67" s="135">
        <f t="shared" si="70"/>
        <v>11606.463576158942</v>
      </c>
      <c r="H67" s="135">
        <f t="shared" si="70"/>
        <v>11222.296070111432</v>
      </c>
      <c r="I67" s="135">
        <f t="shared" si="70"/>
        <v>4898.347826086957</v>
      </c>
      <c r="J67" s="135">
        <f t="shared" si="70"/>
        <v>5476.7999999999993</v>
      </c>
      <c r="K67" s="135">
        <f t="shared" si="70"/>
        <v>0</v>
      </c>
      <c r="L67" s="135">
        <f t="shared" si="70"/>
        <v>5826.913043478261</v>
      </c>
      <c r="M67" s="135">
        <f t="shared" si="70"/>
        <v>0</v>
      </c>
      <c r="N67" s="135">
        <f t="shared" si="70"/>
        <v>5858.7540983606559</v>
      </c>
      <c r="O67" s="492">
        <f t="shared" si="65"/>
        <v>18924.743935309976</v>
      </c>
      <c r="P67" s="492">
        <f t="shared" si="66"/>
        <v>29057.262640282348</v>
      </c>
      <c r="Q67" s="492">
        <f t="shared" si="67"/>
        <v>10375.147826086955</v>
      </c>
      <c r="R67" s="492">
        <f t="shared" si="68"/>
        <v>11685.667141838916</v>
      </c>
      <c r="S67" s="492">
        <f t="shared" si="69"/>
        <v>70042.821543518192</v>
      </c>
      <c r="T67" s="1102"/>
      <c r="U67" s="1102"/>
    </row>
    <row r="68" spans="1:21" s="130" customFormat="1" ht="27" customHeight="1">
      <c r="A68" s="129"/>
      <c r="B68" s="385" t="s">
        <v>1860</v>
      </c>
      <c r="C68" s="108" t="s">
        <v>1846</v>
      </c>
      <c r="D68" s="108" t="s">
        <v>1847</v>
      </c>
      <c r="E68" s="108" t="s">
        <v>1848</v>
      </c>
      <c r="F68" s="108" t="s">
        <v>1849</v>
      </c>
      <c r="G68" s="108" t="s">
        <v>1850</v>
      </c>
      <c r="H68" s="108" t="s">
        <v>1851</v>
      </c>
      <c r="I68" s="108" t="s">
        <v>1852</v>
      </c>
      <c r="J68" s="108" t="s">
        <v>1853</v>
      </c>
      <c r="K68" s="108" t="s">
        <v>1854</v>
      </c>
      <c r="L68" s="108" t="s">
        <v>1855</v>
      </c>
      <c r="M68" s="108" t="s">
        <v>1856</v>
      </c>
      <c r="N68" s="108" t="s">
        <v>1857</v>
      </c>
      <c r="O68" s="494" t="s">
        <v>1993</v>
      </c>
      <c r="P68" s="494" t="s">
        <v>1994</v>
      </c>
      <c r="Q68" s="494" t="s">
        <v>1995</v>
      </c>
      <c r="R68" s="494" t="s">
        <v>1996</v>
      </c>
      <c r="S68" s="494" t="s">
        <v>1997</v>
      </c>
      <c r="T68" s="1103"/>
      <c r="U68" s="1103"/>
    </row>
    <row r="69" spans="1:21" s="123" customFormat="1" ht="27" customHeight="1">
      <c r="A69" s="131"/>
      <c r="B69" s="105" t="s">
        <v>1793</v>
      </c>
      <c r="C69" s="133">
        <f>U69</f>
        <v>4617.9161947916664</v>
      </c>
      <c r="D69" s="118">
        <f t="shared" ref="D69:D74" si="71">C69</f>
        <v>4617.9161947916664</v>
      </c>
      <c r="E69" s="118">
        <f t="shared" ref="E69:E74" si="72">D69</f>
        <v>4617.9161947916664</v>
      </c>
      <c r="F69" s="118">
        <f t="shared" ref="F69:F74" si="73">E69</f>
        <v>4617.9161947916664</v>
      </c>
      <c r="G69" s="118">
        <f t="shared" ref="G69:G74" si="74">F69</f>
        <v>4617.9161947916664</v>
      </c>
      <c r="H69" s="118">
        <f t="shared" ref="H69:H74" si="75">G69</f>
        <v>4617.9161947916664</v>
      </c>
      <c r="I69" s="118">
        <f t="shared" ref="I69:I74" si="76">H69</f>
        <v>4617.9161947916664</v>
      </c>
      <c r="J69" s="118">
        <f t="shared" ref="J69:J74" si="77">I69</f>
        <v>4617.9161947916664</v>
      </c>
      <c r="K69" s="118">
        <f t="shared" ref="K69:K74" si="78">J69</f>
        <v>4617.9161947916664</v>
      </c>
      <c r="L69" s="118">
        <f t="shared" ref="L69:L74" si="79">K69</f>
        <v>4617.9161947916664</v>
      </c>
      <c r="M69" s="118">
        <f t="shared" ref="M69:M74" si="80">L69</f>
        <v>4617.9161947916664</v>
      </c>
      <c r="N69" s="118">
        <f t="shared" ref="N69:N74" si="81">M69</f>
        <v>4617.9161947916664</v>
      </c>
      <c r="O69" s="492">
        <f t="shared" ref="O69:O75" si="82">C69+D69+E69</f>
        <v>13853.748584375</v>
      </c>
      <c r="P69" s="492">
        <f t="shared" ref="P69:P75" si="83">F69+G69+H69</f>
        <v>13853.748584375</v>
      </c>
      <c r="Q69" s="492">
        <f>I69+J69+K69</f>
        <v>13853.748584375</v>
      </c>
      <c r="R69" s="492">
        <f>L69+M69+N69</f>
        <v>13853.748584375</v>
      </c>
      <c r="S69" s="492">
        <f>SUM(O69:R69)</f>
        <v>55414.9943375</v>
      </c>
      <c r="T69" s="1102">
        <f ca="1">тарифікація!AW425</f>
        <v>55414.9943375</v>
      </c>
      <c r="U69" s="1102">
        <f t="shared" ref="U69:U74" si="84">T69/12</f>
        <v>4617.9161947916664</v>
      </c>
    </row>
    <row r="70" spans="1:21" s="123" customFormat="1" ht="27" customHeight="1">
      <c r="A70" s="131"/>
      <c r="B70" s="105" t="s">
        <v>1790</v>
      </c>
      <c r="C70" s="133">
        <f>U70</f>
        <v>9174.7924479166668</v>
      </c>
      <c r="D70" s="118">
        <f t="shared" si="71"/>
        <v>9174.7924479166668</v>
      </c>
      <c r="E70" s="118">
        <f t="shared" si="72"/>
        <v>9174.7924479166668</v>
      </c>
      <c r="F70" s="118">
        <f t="shared" si="73"/>
        <v>9174.7924479166668</v>
      </c>
      <c r="G70" s="118">
        <f t="shared" si="74"/>
        <v>9174.7924479166668</v>
      </c>
      <c r="H70" s="118">
        <f t="shared" si="75"/>
        <v>9174.7924479166668</v>
      </c>
      <c r="I70" s="118">
        <f t="shared" si="76"/>
        <v>9174.7924479166668</v>
      </c>
      <c r="J70" s="118">
        <f t="shared" si="77"/>
        <v>9174.7924479166668</v>
      </c>
      <c r="K70" s="118">
        <f t="shared" si="78"/>
        <v>9174.7924479166668</v>
      </c>
      <c r="L70" s="118">
        <f t="shared" si="79"/>
        <v>9174.7924479166668</v>
      </c>
      <c r="M70" s="118">
        <f t="shared" si="80"/>
        <v>9174.7924479166668</v>
      </c>
      <c r="N70" s="118">
        <f t="shared" si="81"/>
        <v>9174.7924479166668</v>
      </c>
      <c r="O70" s="492">
        <f t="shared" si="82"/>
        <v>27524.377343749999</v>
      </c>
      <c r="P70" s="492">
        <f t="shared" si="83"/>
        <v>27524.377343749999</v>
      </c>
      <c r="Q70" s="492">
        <f t="shared" ref="Q70:Q75" si="85">I70+J70+K70</f>
        <v>27524.377343749999</v>
      </c>
      <c r="R70" s="492">
        <f t="shared" ref="R70:R75" si="86">L70+M70+N70</f>
        <v>27524.377343749999</v>
      </c>
      <c r="S70" s="492">
        <f t="shared" ref="S70:S75" si="87">SUM(O70:R70)</f>
        <v>110097.50937499999</v>
      </c>
      <c r="T70" s="1102">
        <f ca="1">тарифікація!AW426+тарифікація!AW427+тарифікація!AW428</f>
        <v>110097.50937499999</v>
      </c>
      <c r="U70" s="1102">
        <f t="shared" si="84"/>
        <v>9174.7924479166668</v>
      </c>
    </row>
    <row r="71" spans="1:21" s="123" customFormat="1" ht="27" customHeight="1">
      <c r="A71" s="131"/>
      <c r="B71" s="105" t="s">
        <v>1904</v>
      </c>
      <c r="C71" s="133">
        <f>U71</f>
        <v>21117.216666666667</v>
      </c>
      <c r="D71" s="118">
        <f t="shared" si="71"/>
        <v>21117.216666666667</v>
      </c>
      <c r="E71" s="118">
        <f t="shared" si="72"/>
        <v>21117.216666666667</v>
      </c>
      <c r="F71" s="118">
        <f t="shared" si="73"/>
        <v>21117.216666666667</v>
      </c>
      <c r="G71" s="118">
        <f t="shared" si="74"/>
        <v>21117.216666666667</v>
      </c>
      <c r="H71" s="118">
        <f t="shared" si="75"/>
        <v>21117.216666666667</v>
      </c>
      <c r="I71" s="118">
        <f t="shared" si="76"/>
        <v>21117.216666666667</v>
      </c>
      <c r="J71" s="118">
        <f t="shared" si="77"/>
        <v>21117.216666666667</v>
      </c>
      <c r="K71" s="118">
        <f t="shared" si="78"/>
        <v>21117.216666666667</v>
      </c>
      <c r="L71" s="118">
        <f t="shared" si="79"/>
        <v>21117.216666666667</v>
      </c>
      <c r="M71" s="118">
        <f t="shared" si="80"/>
        <v>21117.216666666667</v>
      </c>
      <c r="N71" s="118">
        <f t="shared" si="81"/>
        <v>21117.216666666667</v>
      </c>
      <c r="O71" s="492">
        <f t="shared" si="82"/>
        <v>63351.65</v>
      </c>
      <c r="P71" s="492">
        <f t="shared" si="83"/>
        <v>63351.65</v>
      </c>
      <c r="Q71" s="492">
        <f t="shared" si="85"/>
        <v>63351.65</v>
      </c>
      <c r="R71" s="492">
        <f t="shared" si="86"/>
        <v>63351.65</v>
      </c>
      <c r="S71" s="492">
        <f t="shared" si="87"/>
        <v>253406.6</v>
      </c>
      <c r="T71" s="1102">
        <f ca="1">тарифікація!AW429-тарифікація!AU429</f>
        <v>253406.6</v>
      </c>
      <c r="U71" s="1102">
        <f t="shared" si="84"/>
        <v>21117.216666666667</v>
      </c>
    </row>
    <row r="72" spans="1:21" s="123" customFormat="1" ht="27" customHeight="1">
      <c r="A72" s="131"/>
      <c r="B72" s="105" t="s">
        <v>1794</v>
      </c>
      <c r="C72" s="133">
        <f>U72</f>
        <v>42927.589583333334</v>
      </c>
      <c r="D72" s="118">
        <f t="shared" si="71"/>
        <v>42927.589583333334</v>
      </c>
      <c r="E72" s="118">
        <f t="shared" si="72"/>
        <v>42927.589583333334</v>
      </c>
      <c r="F72" s="118">
        <f t="shared" si="73"/>
        <v>42927.589583333334</v>
      </c>
      <c r="G72" s="118">
        <f t="shared" si="74"/>
        <v>42927.589583333334</v>
      </c>
      <c r="H72" s="118">
        <f t="shared" si="75"/>
        <v>42927.589583333334</v>
      </c>
      <c r="I72" s="118">
        <f t="shared" si="76"/>
        <v>42927.589583333334</v>
      </c>
      <c r="J72" s="118">
        <f t="shared" si="77"/>
        <v>42927.589583333334</v>
      </c>
      <c r="K72" s="118">
        <f t="shared" si="78"/>
        <v>42927.589583333334</v>
      </c>
      <c r="L72" s="118">
        <f t="shared" si="79"/>
        <v>42927.589583333334</v>
      </c>
      <c r="M72" s="118">
        <f t="shared" si="80"/>
        <v>42927.589583333334</v>
      </c>
      <c r="N72" s="118">
        <f t="shared" si="81"/>
        <v>42927.589583333334</v>
      </c>
      <c r="O72" s="492">
        <f t="shared" si="82"/>
        <v>128782.76875</v>
      </c>
      <c r="P72" s="492">
        <f t="shared" si="83"/>
        <v>128782.76875</v>
      </c>
      <c r="Q72" s="492">
        <f t="shared" si="85"/>
        <v>128782.76875</v>
      </c>
      <c r="R72" s="492">
        <f t="shared" si="86"/>
        <v>128782.76875</v>
      </c>
      <c r="S72" s="492">
        <f t="shared" si="87"/>
        <v>515131.07500000001</v>
      </c>
      <c r="T72" s="1102">
        <f ca="1">тарифікація!AW430</f>
        <v>515131.07500000001</v>
      </c>
      <c r="U72" s="1102">
        <f t="shared" si="84"/>
        <v>42927.589583333334</v>
      </c>
    </row>
    <row r="73" spans="1:21" s="123" customFormat="1" ht="27" customHeight="1">
      <c r="A73" s="131"/>
      <c r="B73" s="105" t="s">
        <v>1989</v>
      </c>
      <c r="C73" s="133"/>
      <c r="D73" s="118">
        <f t="shared" si="71"/>
        <v>0</v>
      </c>
      <c r="E73" s="118">
        <f t="shared" si="72"/>
        <v>0</v>
      </c>
      <c r="F73" s="118">
        <f t="shared" si="73"/>
        <v>0</v>
      </c>
      <c r="G73" s="118">
        <f t="shared" si="74"/>
        <v>0</v>
      </c>
      <c r="H73" s="118">
        <f t="shared" si="75"/>
        <v>0</v>
      </c>
      <c r="I73" s="118">
        <f t="shared" si="76"/>
        <v>0</v>
      </c>
      <c r="J73" s="118">
        <f t="shared" si="77"/>
        <v>0</v>
      </c>
      <c r="K73" s="118">
        <f t="shared" si="78"/>
        <v>0</v>
      </c>
      <c r="L73" s="118">
        <f t="shared" si="79"/>
        <v>0</v>
      </c>
      <c r="M73" s="118">
        <f t="shared" si="80"/>
        <v>0</v>
      </c>
      <c r="N73" s="118">
        <f t="shared" si="81"/>
        <v>0</v>
      </c>
      <c r="O73" s="492">
        <f t="shared" si="82"/>
        <v>0</v>
      </c>
      <c r="P73" s="492">
        <f t="shared" si="83"/>
        <v>0</v>
      </c>
      <c r="Q73" s="492">
        <f t="shared" si="85"/>
        <v>0</v>
      </c>
      <c r="R73" s="492">
        <f t="shared" si="86"/>
        <v>0</v>
      </c>
      <c r="S73" s="492">
        <f t="shared" si="87"/>
        <v>0</v>
      </c>
      <c r="T73" s="1102">
        <f ca="1">тарифікація!AW431</f>
        <v>152963</v>
      </c>
      <c r="U73" s="1102">
        <f t="shared" si="84"/>
        <v>12746.916666666666</v>
      </c>
    </row>
    <row r="74" spans="1:21" s="123" customFormat="1" ht="27" customHeight="1">
      <c r="A74" s="131"/>
      <c r="B74" s="105" t="s">
        <v>1791</v>
      </c>
      <c r="C74" s="133"/>
      <c r="D74" s="118">
        <f t="shared" si="71"/>
        <v>0</v>
      </c>
      <c r="E74" s="118">
        <f t="shared" si="72"/>
        <v>0</v>
      </c>
      <c r="F74" s="118">
        <f t="shared" si="73"/>
        <v>0</v>
      </c>
      <c r="G74" s="118">
        <f t="shared" si="74"/>
        <v>0</v>
      </c>
      <c r="H74" s="118">
        <f t="shared" si="75"/>
        <v>0</v>
      </c>
      <c r="I74" s="118">
        <f t="shared" si="76"/>
        <v>0</v>
      </c>
      <c r="J74" s="118">
        <f t="shared" si="77"/>
        <v>0</v>
      </c>
      <c r="K74" s="118">
        <f t="shared" si="78"/>
        <v>0</v>
      </c>
      <c r="L74" s="118">
        <f t="shared" si="79"/>
        <v>0</v>
      </c>
      <c r="M74" s="118">
        <f t="shared" si="80"/>
        <v>0</v>
      </c>
      <c r="N74" s="118">
        <f t="shared" si="81"/>
        <v>0</v>
      </c>
      <c r="O74" s="492">
        <f t="shared" si="82"/>
        <v>0</v>
      </c>
      <c r="P74" s="492">
        <f t="shared" si="83"/>
        <v>0</v>
      </c>
      <c r="Q74" s="492">
        <f t="shared" si="85"/>
        <v>0</v>
      </c>
      <c r="R74" s="492">
        <f t="shared" si="86"/>
        <v>0</v>
      </c>
      <c r="S74" s="492">
        <f t="shared" si="87"/>
        <v>0</v>
      </c>
      <c r="T74" s="1102">
        <f ca="1">тарифікація!AW432-тарифікація!AU432</f>
        <v>146098.9</v>
      </c>
      <c r="U74" s="1102">
        <f t="shared" si="84"/>
        <v>12174.908333333333</v>
      </c>
    </row>
    <row r="75" spans="1:21" s="136" customFormat="1" ht="27" customHeight="1">
      <c r="A75" s="134"/>
      <c r="B75" s="145" t="s">
        <v>1542</v>
      </c>
      <c r="C75" s="135">
        <f t="shared" ref="C75:N75" si="88">SUM(C69:C74)</f>
        <v>77837.514892708336</v>
      </c>
      <c r="D75" s="135">
        <f t="shared" si="88"/>
        <v>77837.514892708336</v>
      </c>
      <c r="E75" s="135">
        <f t="shared" si="88"/>
        <v>77837.514892708336</v>
      </c>
      <c r="F75" s="135">
        <f t="shared" si="88"/>
        <v>77837.514892708336</v>
      </c>
      <c r="G75" s="135">
        <f t="shared" si="88"/>
        <v>77837.514892708336</v>
      </c>
      <c r="H75" s="135">
        <f t="shared" si="88"/>
        <v>77837.514892708336</v>
      </c>
      <c r="I75" s="135">
        <f t="shared" si="88"/>
        <v>77837.514892708336</v>
      </c>
      <c r="J75" s="135">
        <f t="shared" si="88"/>
        <v>77837.514892708336</v>
      </c>
      <c r="K75" s="135">
        <f t="shared" si="88"/>
        <v>77837.514892708336</v>
      </c>
      <c r="L75" s="135">
        <f t="shared" si="88"/>
        <v>77837.514892708336</v>
      </c>
      <c r="M75" s="135">
        <f t="shared" si="88"/>
        <v>77837.514892708336</v>
      </c>
      <c r="N75" s="135">
        <f t="shared" si="88"/>
        <v>77837.514892708336</v>
      </c>
      <c r="O75" s="492">
        <f t="shared" si="82"/>
        <v>233512.54467812501</v>
      </c>
      <c r="P75" s="492">
        <f t="shared" si="83"/>
        <v>233512.54467812501</v>
      </c>
      <c r="Q75" s="492">
        <f t="shared" si="85"/>
        <v>233512.54467812501</v>
      </c>
      <c r="R75" s="492">
        <f t="shared" si="86"/>
        <v>233512.54467812501</v>
      </c>
      <c r="S75" s="492">
        <f t="shared" si="87"/>
        <v>934050.17871250003</v>
      </c>
      <c r="T75" s="1102">
        <f>SUM(T69:T74)</f>
        <v>1233112.0787124999</v>
      </c>
      <c r="U75" s="1102">
        <f>SUM(U69:U74)</f>
        <v>102759.33989270835</v>
      </c>
    </row>
    <row r="76" spans="1:21" s="130" customFormat="1" ht="27" customHeight="1">
      <c r="A76" s="129"/>
      <c r="B76" s="144" t="s">
        <v>1861</v>
      </c>
      <c r="C76" s="108" t="s">
        <v>1846</v>
      </c>
      <c r="D76" s="108" t="s">
        <v>1847</v>
      </c>
      <c r="E76" s="108" t="s">
        <v>1848</v>
      </c>
      <c r="F76" s="108" t="s">
        <v>1849</v>
      </c>
      <c r="G76" s="108" t="s">
        <v>1850</v>
      </c>
      <c r="H76" s="108" t="s">
        <v>1851</v>
      </c>
      <c r="I76" s="108" t="s">
        <v>1852</v>
      </c>
      <c r="J76" s="108" t="s">
        <v>1853</v>
      </c>
      <c r="K76" s="108" t="s">
        <v>1854</v>
      </c>
      <c r="L76" s="108" t="s">
        <v>1855</v>
      </c>
      <c r="M76" s="108" t="s">
        <v>1856</v>
      </c>
      <c r="N76" s="108" t="s">
        <v>1857</v>
      </c>
      <c r="O76" s="494" t="s">
        <v>1993</v>
      </c>
      <c r="P76" s="494" t="s">
        <v>1994</v>
      </c>
      <c r="Q76" s="494" t="s">
        <v>1995</v>
      </c>
      <c r="R76" s="494" t="s">
        <v>1996</v>
      </c>
      <c r="S76" s="494" t="s">
        <v>1997</v>
      </c>
      <c r="T76" s="1104">
        <f>S75+S83</f>
        <v>1233112.0787124999</v>
      </c>
      <c r="U76" s="1103"/>
    </row>
    <row r="77" spans="1:21" s="123" customFormat="1" ht="27" customHeight="1">
      <c r="A77" s="131"/>
      <c r="B77" s="105" t="s">
        <v>1793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492">
        <f t="shared" ref="O77:O83" si="89">C77+D77+E77</f>
        <v>0</v>
      </c>
      <c r="P77" s="492">
        <f t="shared" ref="P77:P83" si="90">F77+G77+H77</f>
        <v>0</v>
      </c>
      <c r="Q77" s="492">
        <f>I77+J77+K77</f>
        <v>0</v>
      </c>
      <c r="R77" s="492">
        <f>L77+M77+N77</f>
        <v>0</v>
      </c>
      <c r="S77" s="492">
        <f>SUM(O77:R77)</f>
        <v>0</v>
      </c>
      <c r="T77" s="1100"/>
      <c r="U77" s="1100"/>
    </row>
    <row r="78" spans="1:21" s="123" customFormat="1" ht="27" customHeight="1">
      <c r="A78" s="131"/>
      <c r="B78" s="105" t="s">
        <v>1790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492">
        <f t="shared" si="89"/>
        <v>0</v>
      </c>
      <c r="P78" s="492">
        <f t="shared" si="90"/>
        <v>0</v>
      </c>
      <c r="Q78" s="492">
        <f t="shared" ref="Q78:Q83" si="91">I78+J78+K78</f>
        <v>0</v>
      </c>
      <c r="R78" s="492">
        <f t="shared" ref="R78:R83" si="92">L78+M78+N78</f>
        <v>0</v>
      </c>
      <c r="S78" s="492">
        <f t="shared" ref="S78:S83" si="93">SUM(O78:R78)</f>
        <v>0</v>
      </c>
      <c r="T78" s="1100"/>
      <c r="U78" s="1100"/>
    </row>
    <row r="79" spans="1:21" s="123" customFormat="1" ht="27" customHeight="1">
      <c r="A79" s="131"/>
      <c r="B79" s="105" t="s">
        <v>1904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492">
        <f t="shared" si="89"/>
        <v>0</v>
      </c>
      <c r="P79" s="492">
        <f t="shared" si="90"/>
        <v>0</v>
      </c>
      <c r="Q79" s="492">
        <f t="shared" si="91"/>
        <v>0</v>
      </c>
      <c r="R79" s="492">
        <f t="shared" si="92"/>
        <v>0</v>
      </c>
      <c r="S79" s="492">
        <f t="shared" si="93"/>
        <v>0</v>
      </c>
      <c r="T79" s="1100"/>
      <c r="U79" s="1100"/>
    </row>
    <row r="80" spans="1:21" s="123" customFormat="1" ht="27" customHeight="1">
      <c r="A80" s="131"/>
      <c r="B80" s="105" t="s">
        <v>1794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492">
        <f t="shared" si="89"/>
        <v>0</v>
      </c>
      <c r="P80" s="492">
        <f t="shared" si="90"/>
        <v>0</v>
      </c>
      <c r="Q80" s="492">
        <f t="shared" si="91"/>
        <v>0</v>
      </c>
      <c r="R80" s="492">
        <f t="shared" si="92"/>
        <v>0</v>
      </c>
      <c r="S80" s="492">
        <f t="shared" si="93"/>
        <v>0</v>
      </c>
      <c r="T80" s="1100"/>
      <c r="U80" s="1100"/>
    </row>
    <row r="81" spans="1:21" s="123" customFormat="1" ht="27" customHeight="1">
      <c r="A81" s="131"/>
      <c r="B81" s="105" t="s">
        <v>1989</v>
      </c>
      <c r="C81" s="133">
        <f>U73</f>
        <v>12746.916666666666</v>
      </c>
      <c r="D81" s="118">
        <f t="shared" ref="D81:N81" si="94">C81</f>
        <v>12746.916666666666</v>
      </c>
      <c r="E81" s="118">
        <f t="shared" si="94"/>
        <v>12746.916666666666</v>
      </c>
      <c r="F81" s="118">
        <f t="shared" si="94"/>
        <v>12746.916666666666</v>
      </c>
      <c r="G81" s="118">
        <f t="shared" si="94"/>
        <v>12746.916666666666</v>
      </c>
      <c r="H81" s="118">
        <f t="shared" si="94"/>
        <v>12746.916666666666</v>
      </c>
      <c r="I81" s="118">
        <f t="shared" si="94"/>
        <v>12746.916666666666</v>
      </c>
      <c r="J81" s="118">
        <f t="shared" si="94"/>
        <v>12746.916666666666</v>
      </c>
      <c r="K81" s="118">
        <f t="shared" si="94"/>
        <v>12746.916666666666</v>
      </c>
      <c r="L81" s="118">
        <f t="shared" si="94"/>
        <v>12746.916666666666</v>
      </c>
      <c r="M81" s="118">
        <f t="shared" si="94"/>
        <v>12746.916666666666</v>
      </c>
      <c r="N81" s="118">
        <f t="shared" si="94"/>
        <v>12746.916666666666</v>
      </c>
      <c r="O81" s="492">
        <f t="shared" si="89"/>
        <v>38240.75</v>
      </c>
      <c r="P81" s="492">
        <f t="shared" si="90"/>
        <v>38240.75</v>
      </c>
      <c r="Q81" s="492">
        <f t="shared" si="91"/>
        <v>38240.75</v>
      </c>
      <c r="R81" s="492">
        <f t="shared" si="92"/>
        <v>38240.75</v>
      </c>
      <c r="S81" s="492">
        <f t="shared" si="93"/>
        <v>152963</v>
      </c>
      <c r="T81" s="1100"/>
      <c r="U81" s="1100"/>
    </row>
    <row r="82" spans="1:21" s="123" customFormat="1" ht="27" customHeight="1">
      <c r="A82" s="131"/>
      <c r="B82" s="105" t="s">
        <v>1791</v>
      </c>
      <c r="C82" s="133">
        <f>U74</f>
        <v>12174.908333333333</v>
      </c>
      <c r="D82" s="118">
        <f t="shared" ref="D82:N82" si="95">C82</f>
        <v>12174.908333333333</v>
      </c>
      <c r="E82" s="118">
        <f t="shared" si="95"/>
        <v>12174.908333333333</v>
      </c>
      <c r="F82" s="118">
        <f t="shared" si="95"/>
        <v>12174.908333333333</v>
      </c>
      <c r="G82" s="118">
        <f t="shared" si="95"/>
        <v>12174.908333333333</v>
      </c>
      <c r="H82" s="118">
        <f t="shared" si="95"/>
        <v>12174.908333333333</v>
      </c>
      <c r="I82" s="118">
        <f t="shared" si="95"/>
        <v>12174.908333333333</v>
      </c>
      <c r="J82" s="118">
        <f t="shared" si="95"/>
        <v>12174.908333333333</v>
      </c>
      <c r="K82" s="118">
        <f t="shared" si="95"/>
        <v>12174.908333333333</v>
      </c>
      <c r="L82" s="118">
        <f t="shared" si="95"/>
        <v>12174.908333333333</v>
      </c>
      <c r="M82" s="118">
        <f t="shared" si="95"/>
        <v>12174.908333333333</v>
      </c>
      <c r="N82" s="118">
        <f t="shared" si="95"/>
        <v>12174.908333333333</v>
      </c>
      <c r="O82" s="492">
        <f t="shared" si="89"/>
        <v>36524.724999999999</v>
      </c>
      <c r="P82" s="492">
        <f t="shared" si="90"/>
        <v>36524.724999999999</v>
      </c>
      <c r="Q82" s="492">
        <f t="shared" si="91"/>
        <v>36524.724999999999</v>
      </c>
      <c r="R82" s="492">
        <f t="shared" si="92"/>
        <v>36524.724999999999</v>
      </c>
      <c r="S82" s="492">
        <f t="shared" si="93"/>
        <v>146098.9</v>
      </c>
      <c r="T82" s="1100"/>
      <c r="U82" s="1100"/>
    </row>
    <row r="83" spans="1:21" s="136" customFormat="1" ht="27" customHeight="1">
      <c r="A83" s="134"/>
      <c r="B83" s="145" t="s">
        <v>1542</v>
      </c>
      <c r="C83" s="135">
        <f t="shared" ref="C83:N83" si="96">SUM(C77:C82)</f>
        <v>24921.824999999997</v>
      </c>
      <c r="D83" s="135">
        <f t="shared" si="96"/>
        <v>24921.824999999997</v>
      </c>
      <c r="E83" s="135">
        <f t="shared" si="96"/>
        <v>24921.824999999997</v>
      </c>
      <c r="F83" s="135">
        <f t="shared" si="96"/>
        <v>24921.824999999997</v>
      </c>
      <c r="G83" s="135">
        <f t="shared" si="96"/>
        <v>24921.824999999997</v>
      </c>
      <c r="H83" s="135">
        <f t="shared" si="96"/>
        <v>24921.824999999997</v>
      </c>
      <c r="I83" s="135">
        <f t="shared" si="96"/>
        <v>24921.824999999997</v>
      </c>
      <c r="J83" s="135">
        <f t="shared" si="96"/>
        <v>24921.824999999997</v>
      </c>
      <c r="K83" s="135">
        <f t="shared" si="96"/>
        <v>24921.824999999997</v>
      </c>
      <c r="L83" s="135">
        <f t="shared" si="96"/>
        <v>24921.824999999997</v>
      </c>
      <c r="M83" s="135">
        <f t="shared" si="96"/>
        <v>24921.824999999997</v>
      </c>
      <c r="N83" s="135">
        <f t="shared" si="96"/>
        <v>24921.824999999997</v>
      </c>
      <c r="O83" s="492">
        <f t="shared" si="89"/>
        <v>74765.474999999991</v>
      </c>
      <c r="P83" s="492">
        <f t="shared" si="90"/>
        <v>74765.474999999991</v>
      </c>
      <c r="Q83" s="492">
        <f t="shared" si="91"/>
        <v>74765.474999999991</v>
      </c>
      <c r="R83" s="492">
        <f t="shared" si="92"/>
        <v>74765.474999999991</v>
      </c>
      <c r="S83" s="492">
        <f t="shared" si="93"/>
        <v>299061.89999999997</v>
      </c>
      <c r="T83" s="1100"/>
      <c r="U83" s="1100"/>
    </row>
    <row r="84" spans="1:21" s="130" customFormat="1" ht="27" customHeight="1">
      <c r="A84" s="129"/>
      <c r="B84" s="144" t="s">
        <v>1753</v>
      </c>
      <c r="C84" s="108" t="s">
        <v>1846</v>
      </c>
      <c r="D84" s="108" t="s">
        <v>1847</v>
      </c>
      <c r="E84" s="108" t="s">
        <v>1848</v>
      </c>
      <c r="F84" s="108" t="s">
        <v>1849</v>
      </c>
      <c r="G84" s="108" t="s">
        <v>1850</v>
      </c>
      <c r="H84" s="108" t="s">
        <v>1851</v>
      </c>
      <c r="I84" s="108" t="s">
        <v>1852</v>
      </c>
      <c r="J84" s="108" t="s">
        <v>1853</v>
      </c>
      <c r="K84" s="108" t="s">
        <v>1854</v>
      </c>
      <c r="L84" s="108" t="s">
        <v>1855</v>
      </c>
      <c r="M84" s="108" t="s">
        <v>1856</v>
      </c>
      <c r="N84" s="108" t="s">
        <v>1857</v>
      </c>
      <c r="O84" s="494" t="s">
        <v>1993</v>
      </c>
      <c r="P84" s="494" t="s">
        <v>1994</v>
      </c>
      <c r="Q84" s="494" t="s">
        <v>1995</v>
      </c>
      <c r="R84" s="494" t="s">
        <v>1996</v>
      </c>
      <c r="S84" s="494" t="s">
        <v>1997</v>
      </c>
      <c r="T84" s="1103"/>
      <c r="U84" s="1103"/>
    </row>
    <row r="85" spans="1:21" s="123" customFormat="1" ht="27" customHeight="1">
      <c r="A85" s="131"/>
      <c r="B85" s="105" t="s">
        <v>1793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492">
        <f t="shared" ref="O85:O91" si="97">C85+D85+E85</f>
        <v>0</v>
      </c>
      <c r="P85" s="492">
        <f t="shared" ref="P85:P91" si="98">F85+G85+H85</f>
        <v>0</v>
      </c>
      <c r="Q85" s="492">
        <f>I85+J85+K85</f>
        <v>0</v>
      </c>
      <c r="R85" s="492">
        <f>L85+M85+N85</f>
        <v>0</v>
      </c>
      <c r="S85" s="492">
        <f>SUM(O85:R85)</f>
        <v>0</v>
      </c>
      <c r="T85" s="1100"/>
      <c r="U85" s="1100"/>
    </row>
    <row r="86" spans="1:21" s="123" customFormat="1" ht="27" customHeight="1">
      <c r="A86" s="131"/>
      <c r="B86" s="105" t="s">
        <v>1790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492">
        <f t="shared" si="97"/>
        <v>0</v>
      </c>
      <c r="P86" s="492">
        <f t="shared" si="98"/>
        <v>0</v>
      </c>
      <c r="Q86" s="492">
        <f t="shared" ref="Q86:Q91" si="99">I86+J86+K86</f>
        <v>0</v>
      </c>
      <c r="R86" s="492">
        <f t="shared" ref="R86:R91" si="100">L86+M86+N86</f>
        <v>0</v>
      </c>
      <c r="S86" s="492">
        <f t="shared" ref="S86:S91" si="101">SUM(O86:R86)</f>
        <v>0</v>
      </c>
      <c r="T86" s="1100"/>
      <c r="U86" s="1100"/>
    </row>
    <row r="87" spans="1:21" s="123" customFormat="1" ht="27" customHeight="1">
      <c r="A87" s="131"/>
      <c r="B87" s="105" t="s">
        <v>1904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492">
        <f t="shared" si="97"/>
        <v>0</v>
      </c>
      <c r="P87" s="492">
        <f t="shared" si="98"/>
        <v>0</v>
      </c>
      <c r="Q87" s="492">
        <f t="shared" si="99"/>
        <v>0</v>
      </c>
      <c r="R87" s="492">
        <f t="shared" si="100"/>
        <v>0</v>
      </c>
      <c r="S87" s="492">
        <f t="shared" si="101"/>
        <v>0</v>
      </c>
      <c r="T87" s="1100"/>
      <c r="U87" s="1100"/>
    </row>
    <row r="88" spans="1:21" s="123" customFormat="1" ht="27" customHeight="1">
      <c r="A88" s="131"/>
      <c r="B88" s="105" t="s">
        <v>1794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492">
        <f t="shared" si="97"/>
        <v>0</v>
      </c>
      <c r="P88" s="492">
        <f t="shared" si="98"/>
        <v>0</v>
      </c>
      <c r="Q88" s="492">
        <f t="shared" si="99"/>
        <v>0</v>
      </c>
      <c r="R88" s="492">
        <f t="shared" si="100"/>
        <v>0</v>
      </c>
      <c r="S88" s="492">
        <f t="shared" si="101"/>
        <v>0</v>
      </c>
      <c r="T88" s="1100"/>
      <c r="U88" s="1100"/>
    </row>
    <row r="89" spans="1:21" s="123" customFormat="1" ht="27" customHeight="1">
      <c r="A89" s="131"/>
      <c r="B89" s="105" t="s">
        <v>1989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492">
        <f t="shared" si="97"/>
        <v>0</v>
      </c>
      <c r="P89" s="492">
        <f t="shared" si="98"/>
        <v>0</v>
      </c>
      <c r="Q89" s="492">
        <f t="shared" si="99"/>
        <v>0</v>
      </c>
      <c r="R89" s="492">
        <f t="shared" si="100"/>
        <v>0</v>
      </c>
      <c r="S89" s="492">
        <f t="shared" si="101"/>
        <v>0</v>
      </c>
      <c r="T89" s="1100"/>
      <c r="U89" s="1100"/>
    </row>
    <row r="90" spans="1:21" s="123" customFormat="1" ht="27" customHeight="1">
      <c r="A90" s="131"/>
      <c r="B90" s="105" t="s">
        <v>1791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492">
        <f t="shared" si="97"/>
        <v>0</v>
      </c>
      <c r="P90" s="492">
        <f t="shared" si="98"/>
        <v>0</v>
      </c>
      <c r="Q90" s="492">
        <f t="shared" si="99"/>
        <v>0</v>
      </c>
      <c r="R90" s="492">
        <f t="shared" si="100"/>
        <v>0</v>
      </c>
      <c r="S90" s="492">
        <f t="shared" si="101"/>
        <v>0</v>
      </c>
      <c r="T90" s="1100"/>
      <c r="U90" s="1100"/>
    </row>
    <row r="91" spans="1:21" s="136" customFormat="1" ht="27" customHeight="1">
      <c r="A91" s="134"/>
      <c r="B91" s="145" t="s">
        <v>1542</v>
      </c>
      <c r="C91" s="135">
        <f t="shared" ref="C91:N91" si="102">SUM(C85:C90)</f>
        <v>0</v>
      </c>
      <c r="D91" s="135">
        <f t="shared" si="102"/>
        <v>0</v>
      </c>
      <c r="E91" s="135">
        <f t="shared" si="102"/>
        <v>0</v>
      </c>
      <c r="F91" s="135">
        <f t="shared" si="102"/>
        <v>0</v>
      </c>
      <c r="G91" s="135">
        <f t="shared" si="102"/>
        <v>0</v>
      </c>
      <c r="H91" s="135">
        <f t="shared" si="102"/>
        <v>0</v>
      </c>
      <c r="I91" s="135">
        <f t="shared" si="102"/>
        <v>0</v>
      </c>
      <c r="J91" s="135">
        <f t="shared" si="102"/>
        <v>0</v>
      </c>
      <c r="K91" s="135">
        <f t="shared" si="102"/>
        <v>0</v>
      </c>
      <c r="L91" s="135">
        <f t="shared" si="102"/>
        <v>0</v>
      </c>
      <c r="M91" s="135">
        <f t="shared" si="102"/>
        <v>0</v>
      </c>
      <c r="N91" s="135">
        <f t="shared" si="102"/>
        <v>0</v>
      </c>
      <c r="O91" s="492">
        <f t="shared" si="97"/>
        <v>0</v>
      </c>
      <c r="P91" s="492">
        <f t="shared" si="98"/>
        <v>0</v>
      </c>
      <c r="Q91" s="492">
        <f t="shared" si="99"/>
        <v>0</v>
      </c>
      <c r="R91" s="492">
        <f t="shared" si="100"/>
        <v>0</v>
      </c>
      <c r="S91" s="492">
        <f t="shared" si="101"/>
        <v>0</v>
      </c>
      <c r="T91" s="1100"/>
      <c r="U91" s="1100"/>
    </row>
    <row r="92" spans="1:21" s="123" customFormat="1" ht="27" customHeight="1">
      <c r="A92" s="131"/>
      <c r="B92" s="147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495"/>
      <c r="P92" s="495"/>
      <c r="Q92" s="495"/>
      <c r="R92" s="495"/>
      <c r="S92" s="495"/>
      <c r="T92" s="1100"/>
      <c r="U92" s="1100"/>
    </row>
    <row r="93" spans="1:21" s="1444" customFormat="1" ht="27" customHeight="1">
      <c r="A93" s="1440"/>
      <c r="B93" s="1441" t="s">
        <v>807</v>
      </c>
      <c r="C93" s="1442">
        <f>C11</f>
        <v>1820305.4482212502</v>
      </c>
      <c r="D93" s="1442">
        <f t="shared" ref="D93:N93" si="103">D11</f>
        <v>1820305.4482212502</v>
      </c>
      <c r="E93" s="1442">
        <f t="shared" si="103"/>
        <v>1820305.4482212502</v>
      </c>
      <c r="F93" s="1442">
        <f t="shared" si="103"/>
        <v>1753305.4482212502</v>
      </c>
      <c r="G93" s="1442">
        <f t="shared" si="103"/>
        <v>1753305.4482212502</v>
      </c>
      <c r="H93" s="1442">
        <f t="shared" si="103"/>
        <v>1753305.4482212502</v>
      </c>
      <c r="I93" s="1442">
        <f t="shared" si="103"/>
        <v>1753305.4482212502</v>
      </c>
      <c r="J93" s="1442">
        <f t="shared" si="103"/>
        <v>1753305.4482212502</v>
      </c>
      <c r="K93" s="1442">
        <f t="shared" si="103"/>
        <v>1753305.4482212502</v>
      </c>
      <c r="L93" s="1442">
        <f t="shared" si="103"/>
        <v>1820305.4482212502</v>
      </c>
      <c r="M93" s="1442">
        <f t="shared" si="103"/>
        <v>1820305.4482212502</v>
      </c>
      <c r="N93" s="1442">
        <f t="shared" si="103"/>
        <v>1820305.4482212502</v>
      </c>
      <c r="O93" s="492">
        <f>C93+D93+E93</f>
        <v>5460916.3446637504</v>
      </c>
      <c r="P93" s="492">
        <f>F93+G93+H93</f>
        <v>5259916.3446637504</v>
      </c>
      <c r="Q93" s="492">
        <f>I93+J93+K93</f>
        <v>5259916.3446637504</v>
      </c>
      <c r="R93" s="492">
        <f>L93+M93+N93</f>
        <v>5460916.3446637504</v>
      </c>
      <c r="S93" s="492">
        <f>SUM(O93:R93)</f>
        <v>21441665.378655002</v>
      </c>
      <c r="T93" s="1443"/>
      <c r="U93" s="1443"/>
    </row>
    <row r="94" spans="1:21" s="1444" customFormat="1" ht="27" customHeight="1">
      <c r="A94" s="1440"/>
      <c r="B94" s="1445" t="s">
        <v>808</v>
      </c>
      <c r="C94" s="1442">
        <f>C32</f>
        <v>1178334.4659937499</v>
      </c>
      <c r="D94" s="1442">
        <f t="shared" ref="D94:N94" si="104">D32</f>
        <v>1178334.4659937499</v>
      </c>
      <c r="E94" s="1442">
        <f t="shared" si="104"/>
        <v>1178334.4659937499</v>
      </c>
      <c r="F94" s="1442">
        <f t="shared" si="104"/>
        <v>1178334.4659937499</v>
      </c>
      <c r="G94" s="1442">
        <f t="shared" si="104"/>
        <v>1178334.4659937499</v>
      </c>
      <c r="H94" s="1442">
        <f t="shared" si="104"/>
        <v>1178334.4659937499</v>
      </c>
      <c r="I94" s="1442">
        <f t="shared" si="104"/>
        <v>1178334.4659937499</v>
      </c>
      <c r="J94" s="1442">
        <f t="shared" si="104"/>
        <v>1178334.4659937499</v>
      </c>
      <c r="K94" s="1442">
        <f t="shared" si="104"/>
        <v>1178334.4659937499</v>
      </c>
      <c r="L94" s="1442">
        <f t="shared" si="104"/>
        <v>1178334.4659937499</v>
      </c>
      <c r="M94" s="1442">
        <f t="shared" si="104"/>
        <v>1178334.4659937499</v>
      </c>
      <c r="N94" s="1442">
        <f t="shared" si="104"/>
        <v>1178334.4659937499</v>
      </c>
      <c r="O94" s="492">
        <f t="shared" ref="O94:O101" si="105">C94+D94+E94</f>
        <v>3535003.3979812497</v>
      </c>
      <c r="P94" s="492">
        <f t="shared" ref="P94:P101" si="106">F94+G94+H94</f>
        <v>3535003.3979812497</v>
      </c>
      <c r="Q94" s="492">
        <f t="shared" ref="Q94:Q101" si="107">I94+J94+K94</f>
        <v>3535003.3979812497</v>
      </c>
      <c r="R94" s="492">
        <f t="shared" ref="R94:R101" si="108">L94+M94+N94</f>
        <v>3535003.3979812497</v>
      </c>
      <c r="S94" s="492">
        <f t="shared" ref="S94:S101" si="109">SUM(O94:R94)</f>
        <v>14140013.591924999</v>
      </c>
      <c r="T94" s="1443"/>
      <c r="U94" s="1443"/>
    </row>
    <row r="95" spans="1:21" s="1448" customFormat="1" ht="27" customHeight="1">
      <c r="A95" s="139"/>
      <c r="B95" s="1446" t="s">
        <v>438</v>
      </c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492">
        <f t="shared" si="105"/>
        <v>0</v>
      </c>
      <c r="P95" s="492">
        <f t="shared" si="106"/>
        <v>0</v>
      </c>
      <c r="Q95" s="492">
        <f t="shared" si="107"/>
        <v>0</v>
      </c>
      <c r="R95" s="492">
        <f t="shared" si="108"/>
        <v>0</v>
      </c>
      <c r="S95" s="492">
        <f t="shared" si="109"/>
        <v>0</v>
      </c>
      <c r="T95" s="1447"/>
      <c r="U95" s="1447"/>
    </row>
    <row r="96" spans="1:21" s="1448" customFormat="1" ht="27" customHeight="1">
      <c r="A96" s="139"/>
      <c r="B96" s="1446" t="s">
        <v>440</v>
      </c>
      <c r="C96" s="118">
        <f>C51</f>
        <v>22409.530952380952</v>
      </c>
      <c r="D96" s="118">
        <f t="shared" ref="D96:N96" si="110">D51</f>
        <v>20240.866666666669</v>
      </c>
      <c r="E96" s="118">
        <f t="shared" si="110"/>
        <v>23677.994968553459</v>
      </c>
      <c r="F96" s="118">
        <f t="shared" si="110"/>
        <v>21816.502994011975</v>
      </c>
      <c r="G96" s="118">
        <f t="shared" si="110"/>
        <v>21007.488741721856</v>
      </c>
      <c r="H96" s="118">
        <f t="shared" si="110"/>
        <v>19655.760637665066</v>
      </c>
      <c r="I96" s="118">
        <f t="shared" si="110"/>
        <v>17239.841304347825</v>
      </c>
      <c r="J96" s="118">
        <f t="shared" si="110"/>
        <v>19825.817499999997</v>
      </c>
      <c r="K96" s="118">
        <f t="shared" si="110"/>
        <v>17442.068181818184</v>
      </c>
      <c r="L96" s="118">
        <f t="shared" si="110"/>
        <v>21090.176086956519</v>
      </c>
      <c r="M96" s="118">
        <f t="shared" si="110"/>
        <v>23471.324999999997</v>
      </c>
      <c r="N96" s="118">
        <f t="shared" si="110"/>
        <v>21205.422950819673</v>
      </c>
      <c r="O96" s="492">
        <f t="shared" si="105"/>
        <v>66328.392587601091</v>
      </c>
      <c r="P96" s="492">
        <f t="shared" si="106"/>
        <v>62479.752373398893</v>
      </c>
      <c r="Q96" s="492">
        <f t="shared" si="107"/>
        <v>54507.72698616601</v>
      </c>
      <c r="R96" s="492">
        <f t="shared" si="108"/>
        <v>65766.924037776189</v>
      </c>
      <c r="S96" s="492">
        <f t="shared" si="109"/>
        <v>249082.79598494217</v>
      </c>
      <c r="T96" s="1447"/>
      <c r="U96" s="1447"/>
    </row>
    <row r="97" spans="1:21" s="1448" customFormat="1" ht="27" customHeight="1">
      <c r="A97" s="139"/>
      <c r="B97" s="1446" t="s">
        <v>439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492">
        <f t="shared" si="105"/>
        <v>0</v>
      </c>
      <c r="P97" s="492">
        <f t="shared" si="106"/>
        <v>0</v>
      </c>
      <c r="Q97" s="492">
        <f t="shared" si="107"/>
        <v>0</v>
      </c>
      <c r="R97" s="492">
        <f t="shared" si="108"/>
        <v>0</v>
      </c>
      <c r="S97" s="492">
        <f t="shared" si="109"/>
        <v>0</v>
      </c>
      <c r="T97" s="1447"/>
      <c r="U97" s="1447"/>
    </row>
    <row r="98" spans="1:21" s="1448" customFormat="1" ht="27" customHeight="1">
      <c r="A98" s="139"/>
      <c r="B98" s="1446" t="s">
        <v>441</v>
      </c>
      <c r="C98" s="118">
        <f>C67</f>
        <v>12382.857142857145</v>
      </c>
      <c r="D98" s="118">
        <f t="shared" ref="D98:N98" si="111">D67</f>
        <v>0</v>
      </c>
      <c r="E98" s="118">
        <f t="shared" si="111"/>
        <v>6541.8867924528304</v>
      </c>
      <c r="F98" s="118">
        <f t="shared" si="111"/>
        <v>6228.5029940119757</v>
      </c>
      <c r="G98" s="118">
        <f t="shared" si="111"/>
        <v>11606.463576158942</v>
      </c>
      <c r="H98" s="118">
        <f t="shared" si="111"/>
        <v>11222.296070111432</v>
      </c>
      <c r="I98" s="118">
        <f t="shared" si="111"/>
        <v>4898.347826086957</v>
      </c>
      <c r="J98" s="118">
        <f t="shared" si="111"/>
        <v>5476.7999999999993</v>
      </c>
      <c r="K98" s="118">
        <f t="shared" si="111"/>
        <v>0</v>
      </c>
      <c r="L98" s="118">
        <f t="shared" si="111"/>
        <v>5826.913043478261</v>
      </c>
      <c r="M98" s="118">
        <f t="shared" si="111"/>
        <v>0</v>
      </c>
      <c r="N98" s="118">
        <f t="shared" si="111"/>
        <v>5858.7540983606559</v>
      </c>
      <c r="O98" s="492">
        <f t="shared" si="105"/>
        <v>18924.743935309976</v>
      </c>
      <c r="P98" s="492">
        <f t="shared" si="106"/>
        <v>29057.262640282348</v>
      </c>
      <c r="Q98" s="492">
        <f t="shared" si="107"/>
        <v>10375.147826086955</v>
      </c>
      <c r="R98" s="492">
        <f t="shared" si="108"/>
        <v>11685.667141838916</v>
      </c>
      <c r="S98" s="492">
        <f t="shared" si="109"/>
        <v>70042.821543518192</v>
      </c>
      <c r="T98" s="1447"/>
      <c r="U98" s="1447"/>
    </row>
    <row r="99" spans="1:21" s="1448" customFormat="1" ht="27" customHeight="1">
      <c r="A99" s="140"/>
      <c r="B99" s="1449" t="s">
        <v>442</v>
      </c>
      <c r="C99" s="118">
        <f>C75</f>
        <v>77837.514892708336</v>
      </c>
      <c r="D99" s="118">
        <f t="shared" ref="D99:N99" si="112">D75</f>
        <v>77837.514892708336</v>
      </c>
      <c r="E99" s="118">
        <f t="shared" si="112"/>
        <v>77837.514892708336</v>
      </c>
      <c r="F99" s="118">
        <f t="shared" si="112"/>
        <v>77837.514892708336</v>
      </c>
      <c r="G99" s="118">
        <f t="shared" si="112"/>
        <v>77837.514892708336</v>
      </c>
      <c r="H99" s="118">
        <f t="shared" si="112"/>
        <v>77837.514892708336</v>
      </c>
      <c r="I99" s="118">
        <f t="shared" si="112"/>
        <v>77837.514892708336</v>
      </c>
      <c r="J99" s="118">
        <f t="shared" si="112"/>
        <v>77837.514892708336</v>
      </c>
      <c r="K99" s="118">
        <f t="shared" si="112"/>
        <v>77837.514892708336</v>
      </c>
      <c r="L99" s="118">
        <f t="shared" si="112"/>
        <v>77837.514892708336</v>
      </c>
      <c r="M99" s="118">
        <f t="shared" si="112"/>
        <v>77837.514892708336</v>
      </c>
      <c r="N99" s="118">
        <f t="shared" si="112"/>
        <v>77837.514892708336</v>
      </c>
      <c r="O99" s="492">
        <f t="shared" si="105"/>
        <v>233512.54467812501</v>
      </c>
      <c r="P99" s="492">
        <f t="shared" si="106"/>
        <v>233512.54467812501</v>
      </c>
      <c r="Q99" s="492">
        <f t="shared" si="107"/>
        <v>233512.54467812501</v>
      </c>
      <c r="R99" s="492">
        <f t="shared" si="108"/>
        <v>233512.54467812501</v>
      </c>
      <c r="S99" s="492">
        <f t="shared" si="109"/>
        <v>934050.17871250003</v>
      </c>
      <c r="T99" s="1447"/>
      <c r="U99" s="1443"/>
    </row>
    <row r="100" spans="1:21" s="1448" customFormat="1" ht="27" customHeight="1">
      <c r="A100" s="140"/>
      <c r="B100" s="1449" t="s">
        <v>443</v>
      </c>
      <c r="C100" s="118">
        <f>C83</f>
        <v>24921.824999999997</v>
      </c>
      <c r="D100" s="118">
        <f t="shared" ref="D100:N100" si="113">D83</f>
        <v>24921.824999999997</v>
      </c>
      <c r="E100" s="118">
        <f t="shared" si="113"/>
        <v>24921.824999999997</v>
      </c>
      <c r="F100" s="118">
        <f t="shared" si="113"/>
        <v>24921.824999999997</v>
      </c>
      <c r="G100" s="118">
        <f t="shared" si="113"/>
        <v>24921.824999999997</v>
      </c>
      <c r="H100" s="118">
        <f t="shared" si="113"/>
        <v>24921.824999999997</v>
      </c>
      <c r="I100" s="118">
        <f t="shared" si="113"/>
        <v>24921.824999999997</v>
      </c>
      <c r="J100" s="118">
        <f t="shared" si="113"/>
        <v>24921.824999999997</v>
      </c>
      <c r="K100" s="118">
        <f t="shared" si="113"/>
        <v>24921.824999999997</v>
      </c>
      <c r="L100" s="118">
        <f t="shared" si="113"/>
        <v>24921.824999999997</v>
      </c>
      <c r="M100" s="118">
        <f t="shared" si="113"/>
        <v>24921.824999999997</v>
      </c>
      <c r="N100" s="118">
        <f t="shared" si="113"/>
        <v>24921.824999999997</v>
      </c>
      <c r="O100" s="492">
        <f t="shared" si="105"/>
        <v>74765.474999999991</v>
      </c>
      <c r="P100" s="492">
        <f t="shared" si="106"/>
        <v>74765.474999999991</v>
      </c>
      <c r="Q100" s="492">
        <f t="shared" si="107"/>
        <v>74765.474999999991</v>
      </c>
      <c r="R100" s="492">
        <f t="shared" si="108"/>
        <v>74765.474999999991</v>
      </c>
      <c r="S100" s="492">
        <f t="shared" si="109"/>
        <v>299061.89999999997</v>
      </c>
      <c r="T100" s="1447"/>
      <c r="U100" s="1443"/>
    </row>
    <row r="101" spans="1:21" s="1448" customFormat="1" ht="27" customHeight="1">
      <c r="A101" s="140"/>
      <c r="B101" s="1446" t="s">
        <v>1862</v>
      </c>
      <c r="C101" s="118">
        <f>C91</f>
        <v>0</v>
      </c>
      <c r="D101" s="118">
        <f t="shared" ref="D101:N101" si="114">D91</f>
        <v>0</v>
      </c>
      <c r="E101" s="118">
        <f t="shared" si="114"/>
        <v>0</v>
      </c>
      <c r="F101" s="118">
        <f t="shared" si="114"/>
        <v>0</v>
      </c>
      <c r="G101" s="118">
        <f t="shared" si="114"/>
        <v>0</v>
      </c>
      <c r="H101" s="118">
        <f t="shared" si="114"/>
        <v>0</v>
      </c>
      <c r="I101" s="118">
        <f t="shared" si="114"/>
        <v>0</v>
      </c>
      <c r="J101" s="118">
        <f t="shared" si="114"/>
        <v>0</v>
      </c>
      <c r="K101" s="118">
        <f t="shared" si="114"/>
        <v>0</v>
      </c>
      <c r="L101" s="118">
        <f t="shared" si="114"/>
        <v>0</v>
      </c>
      <c r="M101" s="118">
        <f t="shared" si="114"/>
        <v>0</v>
      </c>
      <c r="N101" s="118">
        <f t="shared" si="114"/>
        <v>0</v>
      </c>
      <c r="O101" s="492">
        <f t="shared" si="105"/>
        <v>0</v>
      </c>
      <c r="P101" s="492">
        <f t="shared" si="106"/>
        <v>0</v>
      </c>
      <c r="Q101" s="492">
        <f t="shared" si="107"/>
        <v>0</v>
      </c>
      <c r="R101" s="492">
        <f t="shared" si="108"/>
        <v>0</v>
      </c>
      <c r="S101" s="492">
        <f t="shared" si="109"/>
        <v>0</v>
      </c>
      <c r="T101" s="1443"/>
      <c r="U101" s="1443"/>
    </row>
    <row r="102" spans="1:21" s="113" customFormat="1" ht="27" customHeight="1">
      <c r="A102" s="149"/>
      <c r="B102" s="1114" t="s">
        <v>696</v>
      </c>
      <c r="C102" s="107">
        <f>SUM(C93:C101)</f>
        <v>3136191.6422029473</v>
      </c>
      <c r="D102" s="107">
        <f t="shared" ref="D102:N102" si="115">SUM(D93:D101)</f>
        <v>3121640.1207743757</v>
      </c>
      <c r="E102" s="107">
        <f t="shared" si="115"/>
        <v>3131619.1358687156</v>
      </c>
      <c r="F102" s="107">
        <f t="shared" si="115"/>
        <v>3062444.2600957332</v>
      </c>
      <c r="G102" s="107">
        <f t="shared" si="115"/>
        <v>3067013.20642559</v>
      </c>
      <c r="H102" s="107">
        <f t="shared" si="115"/>
        <v>3065277.3108154857</v>
      </c>
      <c r="I102" s="107">
        <f t="shared" si="115"/>
        <v>3056537.4432381438</v>
      </c>
      <c r="J102" s="107">
        <f t="shared" si="115"/>
        <v>3059701.8716077087</v>
      </c>
      <c r="K102" s="107">
        <f t="shared" si="115"/>
        <v>3051841.3222895274</v>
      </c>
      <c r="L102" s="107">
        <f t="shared" si="115"/>
        <v>3128316.3432381437</v>
      </c>
      <c r="M102" s="107">
        <f t="shared" si="115"/>
        <v>3124870.5791077092</v>
      </c>
      <c r="N102" s="107">
        <f t="shared" si="115"/>
        <v>3128463.4311568891</v>
      </c>
      <c r="O102" s="492">
        <f>C102+D102+E102</f>
        <v>9389450.8988460377</v>
      </c>
      <c r="P102" s="492">
        <f>F102+G102+H102</f>
        <v>9194734.7773368079</v>
      </c>
      <c r="Q102" s="492">
        <f>I102+J102+K102</f>
        <v>9168080.637135379</v>
      </c>
      <c r="R102" s="492">
        <f>L102+M102+N102</f>
        <v>9381650.3535027411</v>
      </c>
      <c r="S102" s="492">
        <f>SUM(O102:R102)</f>
        <v>37133916.666820966</v>
      </c>
      <c r="T102" s="1112">
        <f>S33</f>
        <v>37133916.666820958</v>
      </c>
      <c r="U102" s="1113">
        <f>S102-T102</f>
        <v>0</v>
      </c>
    </row>
    <row r="103" spans="1:21" s="113" customFormat="1" ht="27" customHeight="1">
      <c r="A103" s="149"/>
      <c r="B103" s="1114" t="s">
        <v>695</v>
      </c>
      <c r="C103" s="107">
        <f>C34</f>
        <v>674281.20307363349</v>
      </c>
      <c r="D103" s="107">
        <f t="shared" ref="D103:N103" si="116">D34</f>
        <v>671152.62596649071</v>
      </c>
      <c r="E103" s="107">
        <f t="shared" si="116"/>
        <v>673298.11421177362</v>
      </c>
      <c r="F103" s="107">
        <f t="shared" si="116"/>
        <v>658425.51592058246</v>
      </c>
      <c r="G103" s="107">
        <f t="shared" si="116"/>
        <v>659407.83938150166</v>
      </c>
      <c r="H103" s="107">
        <f t="shared" si="116"/>
        <v>659034.62182532926</v>
      </c>
      <c r="I103" s="107">
        <f t="shared" si="116"/>
        <v>657155.55029620079</v>
      </c>
      <c r="J103" s="107">
        <f t="shared" si="116"/>
        <v>657835.90239565726</v>
      </c>
      <c r="K103" s="107">
        <f t="shared" si="116"/>
        <v>656145.88429224817</v>
      </c>
      <c r="L103" s="107">
        <f t="shared" si="116"/>
        <v>672588.01379620074</v>
      </c>
      <c r="M103" s="107">
        <f t="shared" si="116"/>
        <v>671847.1745081573</v>
      </c>
      <c r="N103" s="107">
        <f t="shared" si="116"/>
        <v>672619.63769873104</v>
      </c>
      <c r="O103" s="492">
        <f>C103+D103+E103</f>
        <v>2018731.9432518976</v>
      </c>
      <c r="P103" s="492">
        <f>F103+G103+H103</f>
        <v>1976867.9771274135</v>
      </c>
      <c r="Q103" s="492">
        <f>I103+J103+K103</f>
        <v>1971137.3369841063</v>
      </c>
      <c r="R103" s="492">
        <f>L103+M103+N103</f>
        <v>2017054.8260030891</v>
      </c>
      <c r="S103" s="492">
        <f>SUM(O103:R103)</f>
        <v>7983792.0833665058</v>
      </c>
      <c r="T103" s="1112">
        <f>S34</f>
        <v>7983792.0833665058</v>
      </c>
      <c r="U103" s="1113">
        <f>S103-T103</f>
        <v>0</v>
      </c>
    </row>
    <row r="104" spans="1:21" s="113" customFormat="1" ht="27" customHeight="1">
      <c r="A104" s="149"/>
      <c r="B104" s="1114" t="s">
        <v>1819</v>
      </c>
      <c r="C104" s="107">
        <f>C102+C103</f>
        <v>3810472.8452765807</v>
      </c>
      <c r="D104" s="107">
        <f t="shared" ref="D104:N104" si="117">D102+D103</f>
        <v>3792792.7467408665</v>
      </c>
      <c r="E104" s="107">
        <f t="shared" si="117"/>
        <v>3804917.2500804891</v>
      </c>
      <c r="F104" s="107">
        <f t="shared" si="117"/>
        <v>3720869.7760163154</v>
      </c>
      <c r="G104" s="107">
        <f t="shared" si="117"/>
        <v>3726421.0458070915</v>
      </c>
      <c r="H104" s="107">
        <f t="shared" si="117"/>
        <v>3724311.9326408152</v>
      </c>
      <c r="I104" s="107">
        <f t="shared" si="117"/>
        <v>3713692.9935343447</v>
      </c>
      <c r="J104" s="107">
        <f t="shared" si="117"/>
        <v>3717537.774003366</v>
      </c>
      <c r="K104" s="107">
        <f t="shared" si="117"/>
        <v>3707987.2065817756</v>
      </c>
      <c r="L104" s="107">
        <f t="shared" si="117"/>
        <v>3800904.3570343442</v>
      </c>
      <c r="M104" s="107">
        <f t="shared" si="117"/>
        <v>3796717.7536158664</v>
      </c>
      <c r="N104" s="107">
        <f t="shared" si="117"/>
        <v>3801083.06885562</v>
      </c>
      <c r="O104" s="492">
        <f>C104+D104+E104</f>
        <v>11408182.842097936</v>
      </c>
      <c r="P104" s="492">
        <f>F104+G104+H104</f>
        <v>11171602.754464222</v>
      </c>
      <c r="Q104" s="492">
        <f>I104+J104+K104</f>
        <v>11139217.974119486</v>
      </c>
      <c r="R104" s="492">
        <f>L104+M104+N104</f>
        <v>11398705.179505831</v>
      </c>
      <c r="S104" s="492">
        <f>SUM(O104:R104)</f>
        <v>45117708.750187479</v>
      </c>
      <c r="T104" s="1112">
        <f>S35</f>
        <v>45117708.750187472</v>
      </c>
      <c r="U104" s="1113">
        <f>S104-T104</f>
        <v>0</v>
      </c>
    </row>
    <row r="105" spans="1:21">
      <c r="S105" s="496"/>
    </row>
  </sheetData>
  <mergeCells count="1">
    <mergeCell ref="B1:R1"/>
  </mergeCells>
  <phoneticPr fontId="66" type="noConversion"/>
  <pageMargins left="0" right="0" top="0" bottom="0" header="0" footer="0"/>
  <pageSetup paperSize="9" scale="2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53"/>
  <sheetViews>
    <sheetView view="pageBreakPreview" topLeftCell="B1" zoomScale="33" zoomScaleNormal="40" zoomScaleSheetLayoutView="33" workbookViewId="0">
      <selection activeCell="AB19" sqref="AB19"/>
    </sheetView>
  </sheetViews>
  <sheetFormatPr defaultRowHeight="33.75"/>
  <cols>
    <col min="1" max="1" width="11.42578125" style="99" customWidth="1"/>
    <col min="2" max="2" width="17.85546875" style="488" customWidth="1"/>
    <col min="3" max="3" width="122.140625" style="738" customWidth="1"/>
    <col min="4" max="4" width="73" style="809" customWidth="1"/>
    <col min="5" max="5" width="42.28515625" style="781" customWidth="1"/>
    <col min="6" max="6" width="8.7109375" style="781" customWidth="1"/>
    <col min="7" max="7" width="23.28515625" style="781" customWidth="1"/>
    <col min="8" max="8" width="17.42578125" style="782" customWidth="1"/>
    <col min="9" max="9" width="20.7109375" style="781" bestFit="1" customWidth="1"/>
    <col min="10" max="10" width="12.85546875" style="782" customWidth="1"/>
    <col min="11" max="11" width="19.7109375" style="781" customWidth="1"/>
    <col min="12" max="12" width="15.7109375" style="781" customWidth="1"/>
    <col min="13" max="13" width="12.85546875" style="782" customWidth="1"/>
    <col min="14" max="14" width="21.5703125" style="781" customWidth="1"/>
    <col min="15" max="15" width="13.42578125" style="782" customWidth="1"/>
    <col min="16" max="16" width="21.28515625" style="781" bestFit="1" customWidth="1"/>
    <col min="17" max="17" width="12" style="781" customWidth="1"/>
    <col min="18" max="18" width="25.42578125" style="781" customWidth="1"/>
    <col min="19" max="20" width="19.42578125" style="768" customWidth="1"/>
    <col min="21" max="21" width="10.140625" style="781" customWidth="1"/>
    <col min="22" max="22" width="14" style="781" customWidth="1"/>
    <col min="23" max="23" width="20.7109375" style="781" bestFit="1" customWidth="1"/>
    <col min="24" max="24" width="21.5703125" style="781" customWidth="1"/>
    <col min="25" max="25" width="14.28515625" style="781" customWidth="1"/>
    <col min="26" max="26" width="21.5703125" style="781" customWidth="1"/>
    <col min="27" max="27" width="24.28515625" style="781" customWidth="1"/>
    <col min="28" max="28" width="28.7109375" style="781" customWidth="1"/>
    <col min="29" max="30" width="28" style="740" customWidth="1"/>
    <col min="31" max="31" width="39.140625" style="764" hidden="1" customWidth="1"/>
    <col min="32" max="32" width="44.140625" style="764" hidden="1" customWidth="1"/>
    <col min="33" max="33" width="33.5703125" style="741" hidden="1" customWidth="1"/>
    <col min="34" max="34" width="28.140625" style="739" hidden="1" customWidth="1"/>
    <col min="35" max="35" width="25.85546875" style="742" hidden="1" customWidth="1"/>
    <col min="36" max="36" width="18.5703125" style="742" hidden="1" customWidth="1"/>
    <col min="37" max="37" width="25.85546875" style="742" hidden="1" customWidth="1"/>
    <col min="38" max="38" width="20.28515625" style="742" hidden="1" customWidth="1"/>
    <col min="39" max="39" width="21.42578125" style="742" hidden="1" customWidth="1"/>
    <col min="40" max="40" width="18.28515625" style="742" hidden="1" customWidth="1"/>
    <col min="41" max="41" width="21.42578125" style="763" hidden="1" customWidth="1"/>
    <col min="42" max="42" width="28.85546875" style="742" hidden="1" customWidth="1"/>
    <col min="43" max="43" width="29.85546875" style="763" hidden="1" customWidth="1"/>
    <col min="44" max="44" width="18.5703125" style="763" hidden="1" customWidth="1"/>
    <col min="45" max="45" width="28.85546875" style="742" hidden="1" customWidth="1"/>
    <col min="46" max="46" width="25.7109375" style="742" bestFit="1" customWidth="1"/>
    <col min="47" max="47" width="20.7109375" style="742" customWidth="1"/>
    <col min="48" max="48" width="20.7109375" style="742" hidden="1" customWidth="1"/>
    <col min="49" max="49" width="28.85546875" style="742" customWidth="1"/>
    <col min="50" max="51" width="9.140625" style="99"/>
    <col min="52" max="52" width="14.85546875" style="99" bestFit="1" customWidth="1"/>
    <col min="53" max="54" width="9.140625" style="99"/>
    <col min="55" max="55" width="14.42578125" style="99" bestFit="1" customWidth="1"/>
    <col min="56" max="16384" width="9.140625" style="99"/>
  </cols>
  <sheetData>
    <row r="1" spans="2:52" s="90" customFormat="1" ht="57" customHeight="1">
      <c r="B1" s="484"/>
      <c r="C1" s="734"/>
      <c r="D1" s="805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40"/>
      <c r="AD1" s="740"/>
      <c r="AE1" s="739"/>
      <c r="AF1" s="739"/>
      <c r="AG1" s="741"/>
      <c r="AH1" s="739"/>
      <c r="AI1" s="742"/>
      <c r="AJ1" s="742"/>
      <c r="AK1" s="742"/>
      <c r="AL1" s="742"/>
      <c r="AM1" s="742"/>
      <c r="AN1" s="742"/>
      <c r="AO1" s="742"/>
      <c r="AP1" s="742"/>
      <c r="AQ1" s="742"/>
      <c r="AR1" s="742"/>
      <c r="AS1" s="742"/>
      <c r="AT1" s="742"/>
      <c r="AU1" s="742"/>
      <c r="AV1" s="742"/>
      <c r="AW1" s="742"/>
    </row>
    <row r="2" spans="2:52" s="91" customFormat="1" ht="64.5">
      <c r="B2" s="485"/>
      <c r="C2" s="1632" t="s">
        <v>811</v>
      </c>
      <c r="D2" s="1632"/>
      <c r="E2" s="1633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2"/>
      <c r="Q2" s="1632"/>
      <c r="R2" s="1632"/>
      <c r="S2" s="1632"/>
      <c r="T2" s="1632"/>
      <c r="U2" s="1632"/>
      <c r="V2" s="1632"/>
      <c r="W2" s="1632"/>
      <c r="X2" s="1632"/>
      <c r="Y2" s="1632"/>
      <c r="Z2" s="1632"/>
      <c r="AA2" s="1632"/>
      <c r="AB2" s="1632"/>
      <c r="AC2" s="743"/>
      <c r="AD2" s="743"/>
      <c r="AE2" s="744"/>
      <c r="AF2" s="744"/>
      <c r="AG2" s="745"/>
      <c r="AH2" s="746"/>
      <c r="AI2" s="747"/>
      <c r="AJ2" s="748"/>
      <c r="AK2" s="749"/>
      <c r="AL2" s="747"/>
      <c r="AM2" s="748"/>
      <c r="AN2" s="747"/>
      <c r="AO2" s="747"/>
      <c r="AP2" s="747"/>
      <c r="AQ2" s="747"/>
      <c r="AR2" s="747"/>
      <c r="AS2" s="747"/>
      <c r="AT2" s="747"/>
      <c r="AU2" s="747"/>
      <c r="AV2" s="747"/>
      <c r="AW2" s="747"/>
    </row>
    <row r="3" spans="2:52" s="92" customFormat="1" ht="29.25" customHeight="1">
      <c r="B3" s="486"/>
      <c r="C3" s="735"/>
      <c r="D3" s="806"/>
      <c r="E3" s="769"/>
      <c r="F3" s="769"/>
      <c r="G3" s="1634"/>
      <c r="H3" s="1634"/>
      <c r="I3" s="1634"/>
      <c r="J3" s="1634"/>
      <c r="K3" s="1634"/>
      <c r="L3" s="1634"/>
      <c r="M3" s="1634"/>
      <c r="N3" s="1634"/>
      <c r="O3" s="1634"/>
      <c r="P3" s="1634"/>
      <c r="Q3" s="1634"/>
      <c r="R3" s="1634"/>
      <c r="S3" s="1634"/>
      <c r="T3" s="1634"/>
      <c r="U3" s="1634"/>
      <c r="V3" s="1634"/>
      <c r="W3" s="1634"/>
      <c r="X3" s="769"/>
      <c r="Y3" s="769"/>
      <c r="Z3" s="769"/>
      <c r="AA3" s="769"/>
      <c r="AB3" s="769"/>
      <c r="AC3" s="743"/>
      <c r="AD3" s="743"/>
      <c r="AE3" s="744"/>
      <c r="AF3" s="744"/>
      <c r="AG3" s="745"/>
      <c r="AH3" s="744"/>
      <c r="AI3" s="747"/>
      <c r="AJ3" s="747"/>
      <c r="AK3" s="747"/>
      <c r="AL3" s="747"/>
      <c r="AM3" s="747"/>
      <c r="AN3" s="747"/>
      <c r="AO3" s="747"/>
      <c r="AP3" s="747"/>
      <c r="AQ3" s="747"/>
      <c r="AR3" s="747"/>
      <c r="AS3" s="747"/>
      <c r="AT3" s="747"/>
      <c r="AU3" s="747"/>
      <c r="AV3" s="747"/>
      <c r="AW3" s="747"/>
    </row>
    <row r="4" spans="2:52" s="93" customFormat="1" ht="85.5" customHeight="1">
      <c r="B4" s="1635"/>
      <c r="C4" s="1635" t="s">
        <v>453</v>
      </c>
      <c r="D4" s="1636"/>
      <c r="E4" s="1637" t="s">
        <v>454</v>
      </c>
      <c r="F4" s="1638" t="s">
        <v>455</v>
      </c>
      <c r="G4" s="1628" t="s">
        <v>456</v>
      </c>
      <c r="H4" s="1628"/>
      <c r="I4" s="1628"/>
      <c r="J4" s="1628"/>
      <c r="K4" s="1628"/>
      <c r="L4" s="1628"/>
      <c r="M4" s="1628"/>
      <c r="N4" s="1628"/>
      <c r="O4" s="1628"/>
      <c r="P4" s="1628"/>
      <c r="Q4" s="1628"/>
      <c r="R4" s="1628"/>
      <c r="S4" s="1628" t="s">
        <v>457</v>
      </c>
      <c r="T4" s="1628"/>
      <c r="U4" s="1628" t="s">
        <v>458</v>
      </c>
      <c r="V4" s="1628"/>
      <c r="W4" s="1628"/>
      <c r="X4" s="1628" t="s">
        <v>459</v>
      </c>
      <c r="Y4" s="1628"/>
      <c r="Z4" s="1628"/>
      <c r="AA4" s="1628" t="s">
        <v>460</v>
      </c>
      <c r="AB4" s="1628" t="s">
        <v>461</v>
      </c>
      <c r="AC4" s="1624" t="s">
        <v>1692</v>
      </c>
      <c r="AD4" s="1624" t="s">
        <v>461</v>
      </c>
      <c r="AE4" s="1625" t="s">
        <v>1692</v>
      </c>
      <c r="AF4" s="1625" t="s">
        <v>461</v>
      </c>
      <c r="AG4" s="1622" t="s">
        <v>462</v>
      </c>
      <c r="AH4" s="1625" t="s">
        <v>460</v>
      </c>
      <c r="AI4" s="1626" t="s">
        <v>463</v>
      </c>
      <c r="AJ4" s="1627"/>
      <c r="AK4" s="1627"/>
      <c r="AL4" s="1627"/>
      <c r="AM4" s="1627"/>
      <c r="AN4" s="1627"/>
      <c r="AO4" s="1626" t="s">
        <v>464</v>
      </c>
      <c r="AP4" s="1626"/>
      <c r="AQ4" s="1626" t="s">
        <v>460</v>
      </c>
      <c r="AR4" s="1626" t="s">
        <v>465</v>
      </c>
      <c r="AS4" s="1626"/>
      <c r="AT4" s="1626" t="s">
        <v>466</v>
      </c>
      <c r="AU4" s="1627"/>
      <c r="AV4" s="1627"/>
      <c r="AW4" s="1627"/>
    </row>
    <row r="5" spans="2:52" s="93" customFormat="1" ht="39.75" customHeight="1">
      <c r="B5" s="1635"/>
      <c r="C5" s="1635"/>
      <c r="D5" s="1636"/>
      <c r="E5" s="1637"/>
      <c r="F5" s="1638"/>
      <c r="G5" s="1628" t="s">
        <v>467</v>
      </c>
      <c r="H5" s="770"/>
      <c r="I5" s="1628" t="s">
        <v>468</v>
      </c>
      <c r="J5" s="1628"/>
      <c r="K5" s="1629"/>
      <c r="L5" s="1629"/>
      <c r="M5" s="1629"/>
      <c r="N5" s="1629"/>
      <c r="O5" s="1629"/>
      <c r="P5" s="1629"/>
      <c r="Q5" s="1629"/>
      <c r="R5" s="1628" t="s">
        <v>469</v>
      </c>
      <c r="S5" s="1630" t="s">
        <v>470</v>
      </c>
      <c r="T5" s="1630" t="s">
        <v>471</v>
      </c>
      <c r="U5" s="1631" t="s">
        <v>472</v>
      </c>
      <c r="V5" s="1628" t="s">
        <v>473</v>
      </c>
      <c r="W5" s="1628"/>
      <c r="X5" s="1630" t="s">
        <v>474</v>
      </c>
      <c r="Y5" s="1628" t="s">
        <v>475</v>
      </c>
      <c r="Z5" s="1628"/>
      <c r="AA5" s="1628"/>
      <c r="AB5" s="1628"/>
      <c r="AC5" s="1624"/>
      <c r="AD5" s="1624"/>
      <c r="AE5" s="1625"/>
      <c r="AF5" s="1625"/>
      <c r="AG5" s="1622"/>
      <c r="AH5" s="1625"/>
      <c r="AI5" s="1627"/>
      <c r="AJ5" s="1627"/>
      <c r="AK5" s="1627"/>
      <c r="AL5" s="1627"/>
      <c r="AM5" s="1627"/>
      <c r="AN5" s="1627"/>
      <c r="AO5" s="1626"/>
      <c r="AP5" s="1626"/>
      <c r="AQ5" s="1626"/>
      <c r="AR5" s="1626"/>
      <c r="AS5" s="1626"/>
      <c r="AT5" s="1627"/>
      <c r="AU5" s="1627"/>
      <c r="AV5" s="1627"/>
      <c r="AW5" s="1627"/>
    </row>
    <row r="6" spans="2:52" s="93" customFormat="1" ht="253.5" customHeight="1">
      <c r="B6" s="1635"/>
      <c r="C6" s="1635"/>
      <c r="D6" s="1636"/>
      <c r="E6" s="1637"/>
      <c r="F6" s="1638"/>
      <c r="G6" s="1628"/>
      <c r="H6" s="771" t="s">
        <v>533</v>
      </c>
      <c r="I6" s="771" t="s">
        <v>476</v>
      </c>
      <c r="J6" s="771" t="s">
        <v>533</v>
      </c>
      <c r="K6" s="771" t="s">
        <v>477</v>
      </c>
      <c r="L6" s="771" t="s">
        <v>478</v>
      </c>
      <c r="M6" s="771" t="s">
        <v>533</v>
      </c>
      <c r="N6" s="771" t="s">
        <v>479</v>
      </c>
      <c r="O6" s="771"/>
      <c r="P6" s="772" t="s">
        <v>480</v>
      </c>
      <c r="Q6" s="772" t="s">
        <v>481</v>
      </c>
      <c r="R6" s="1628"/>
      <c r="S6" s="1630"/>
      <c r="T6" s="1630"/>
      <c r="U6" s="1631"/>
      <c r="V6" s="773" t="s">
        <v>482</v>
      </c>
      <c r="W6" s="773" t="s">
        <v>483</v>
      </c>
      <c r="X6" s="1630"/>
      <c r="Y6" s="772" t="s">
        <v>482</v>
      </c>
      <c r="Z6" s="772" t="s">
        <v>484</v>
      </c>
      <c r="AA6" s="1628"/>
      <c r="AB6" s="1628"/>
      <c r="AC6" s="1624"/>
      <c r="AD6" s="1624"/>
      <c r="AE6" s="1625"/>
      <c r="AF6" s="1625"/>
      <c r="AG6" s="1622"/>
      <c r="AH6" s="1625"/>
      <c r="AI6" s="1623" t="s">
        <v>485</v>
      </c>
      <c r="AJ6" s="1623"/>
      <c r="AK6" s="1623" t="s">
        <v>486</v>
      </c>
      <c r="AL6" s="1623"/>
      <c r="AM6" s="1623" t="s">
        <v>487</v>
      </c>
      <c r="AN6" s="1623"/>
      <c r="AO6" s="1626"/>
      <c r="AP6" s="1626"/>
      <c r="AQ6" s="1626"/>
      <c r="AR6" s="1626"/>
      <c r="AS6" s="1626"/>
      <c r="AT6" s="1623" t="s">
        <v>488</v>
      </c>
      <c r="AU6" s="1623"/>
      <c r="AV6" s="751" t="s">
        <v>489</v>
      </c>
      <c r="AW6" s="794" t="s">
        <v>490</v>
      </c>
    </row>
    <row r="7" spans="2:52" s="94" customFormat="1" ht="33">
      <c r="B7" s="725" t="s">
        <v>530</v>
      </c>
      <c r="C7" s="1635" t="s">
        <v>491</v>
      </c>
      <c r="D7" s="1636"/>
      <c r="E7" s="774" t="s">
        <v>492</v>
      </c>
      <c r="F7" s="774" t="s">
        <v>493</v>
      </c>
      <c r="G7" s="770">
        <v>5</v>
      </c>
      <c r="H7" s="774"/>
      <c r="I7" s="774" t="s">
        <v>494</v>
      </c>
      <c r="J7" s="774"/>
      <c r="K7" s="774" t="s">
        <v>495</v>
      </c>
      <c r="L7" s="774" t="s">
        <v>496</v>
      </c>
      <c r="M7" s="774"/>
      <c r="N7" s="774" t="s">
        <v>497</v>
      </c>
      <c r="O7" s="774"/>
      <c r="P7" s="770">
        <v>10</v>
      </c>
      <c r="Q7" s="770">
        <v>11</v>
      </c>
      <c r="R7" s="770">
        <v>12</v>
      </c>
      <c r="S7" s="770">
        <v>13</v>
      </c>
      <c r="T7" s="770">
        <v>14</v>
      </c>
      <c r="U7" s="770">
        <v>15</v>
      </c>
      <c r="V7" s="770">
        <v>16</v>
      </c>
      <c r="W7" s="770">
        <v>17</v>
      </c>
      <c r="X7" s="770">
        <v>18</v>
      </c>
      <c r="Y7" s="770">
        <v>19</v>
      </c>
      <c r="Z7" s="770">
        <v>20</v>
      </c>
      <c r="AA7" s="770">
        <v>21</v>
      </c>
      <c r="AB7" s="770">
        <v>22</v>
      </c>
      <c r="AC7" s="752"/>
      <c r="AD7" s="752"/>
      <c r="AE7" s="750"/>
      <c r="AF7" s="750"/>
      <c r="AG7" s="753">
        <v>21</v>
      </c>
      <c r="AH7" s="750">
        <v>21</v>
      </c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4"/>
    </row>
    <row r="8" spans="2:52" s="93" customFormat="1" ht="33">
      <c r="B8" s="810"/>
      <c r="C8" s="810" t="s">
        <v>498</v>
      </c>
      <c r="D8" s="811"/>
      <c r="E8" s="812"/>
      <c r="F8" s="812"/>
      <c r="G8" s="812"/>
      <c r="H8" s="813"/>
      <c r="I8" s="812"/>
      <c r="J8" s="813"/>
      <c r="K8" s="812"/>
      <c r="L8" s="812"/>
      <c r="M8" s="813"/>
      <c r="N8" s="812"/>
      <c r="O8" s="813"/>
      <c r="P8" s="812"/>
      <c r="Q8" s="812"/>
      <c r="R8" s="812"/>
      <c r="S8" s="812"/>
      <c r="T8" s="812"/>
      <c r="U8" s="812"/>
      <c r="V8" s="812"/>
      <c r="W8" s="812"/>
      <c r="X8" s="812"/>
      <c r="Y8" s="812"/>
      <c r="Z8" s="812"/>
      <c r="AA8" s="812"/>
      <c r="AB8" s="812"/>
      <c r="AC8" s="814"/>
      <c r="AD8" s="814"/>
      <c r="AE8" s="815"/>
      <c r="AF8" s="815"/>
      <c r="AG8" s="816"/>
      <c r="AH8" s="815"/>
      <c r="AI8" s="817"/>
      <c r="AJ8" s="817"/>
      <c r="AK8" s="817"/>
      <c r="AL8" s="817"/>
      <c r="AM8" s="817"/>
      <c r="AN8" s="817"/>
      <c r="AO8" s="817"/>
      <c r="AP8" s="817"/>
      <c r="AQ8" s="817"/>
      <c r="AR8" s="817"/>
      <c r="AS8" s="817"/>
      <c r="AT8" s="817"/>
      <c r="AU8" s="817"/>
      <c r="AV8" s="817"/>
      <c r="AW8" s="817"/>
    </row>
    <row r="9" spans="2:52" s="95" customFormat="1" ht="33">
      <c r="B9" s="810"/>
      <c r="C9" s="810" t="s">
        <v>810</v>
      </c>
      <c r="D9" s="811"/>
      <c r="E9" s="812"/>
      <c r="F9" s="812"/>
      <c r="G9" s="812"/>
      <c r="H9" s="813"/>
      <c r="I9" s="812"/>
      <c r="J9" s="813"/>
      <c r="K9" s="812"/>
      <c r="L9" s="812"/>
      <c r="M9" s="813"/>
      <c r="N9" s="812"/>
      <c r="O9" s="813"/>
      <c r="P9" s="812"/>
      <c r="Q9" s="812"/>
      <c r="R9" s="812"/>
      <c r="S9" s="812"/>
      <c r="T9" s="812"/>
      <c r="U9" s="812"/>
      <c r="V9" s="812"/>
      <c r="W9" s="812"/>
      <c r="X9" s="812"/>
      <c r="Y9" s="812"/>
      <c r="Z9" s="812"/>
      <c r="AA9" s="812"/>
      <c r="AB9" s="812"/>
      <c r="AC9" s="814"/>
      <c r="AD9" s="814"/>
      <c r="AE9" s="815"/>
      <c r="AF9" s="815"/>
      <c r="AG9" s="818"/>
      <c r="AH9" s="815"/>
      <c r="AI9" s="817"/>
      <c r="AJ9" s="817"/>
      <c r="AK9" s="817"/>
      <c r="AL9" s="817"/>
      <c r="AM9" s="817"/>
      <c r="AN9" s="817"/>
      <c r="AO9" s="817"/>
      <c r="AP9" s="817"/>
      <c r="AQ9" s="817"/>
      <c r="AR9" s="817"/>
      <c r="AS9" s="817"/>
      <c r="AT9" s="817"/>
      <c r="AU9" s="817"/>
      <c r="AV9" s="817"/>
      <c r="AW9" s="817"/>
    </row>
    <row r="10" spans="2:52" s="95" customFormat="1" ht="58.5" hidden="1">
      <c r="B10" s="770"/>
      <c r="C10" s="819"/>
      <c r="D10" s="820" t="s">
        <v>499</v>
      </c>
      <c r="E10" s="770" t="s">
        <v>2133</v>
      </c>
      <c r="F10" s="770">
        <v>16</v>
      </c>
      <c r="G10" s="821">
        <v>8071</v>
      </c>
      <c r="H10" s="822">
        <v>0.44900000000000001</v>
      </c>
      <c r="I10" s="821">
        <f>2893*H10</f>
        <v>1298.9570000000001</v>
      </c>
      <c r="J10" s="821"/>
      <c r="K10" s="821"/>
      <c r="L10" s="821"/>
      <c r="M10" s="821"/>
      <c r="N10" s="821"/>
      <c r="O10" s="821"/>
      <c r="P10" s="770"/>
      <c r="Q10" s="770"/>
      <c r="R10" s="823">
        <f t="shared" ref="R10:R15" si="0">G10+I10+K10+L10+N10+P10+Q10</f>
        <v>9369.9570000000003</v>
      </c>
      <c r="S10" s="770" t="s">
        <v>500</v>
      </c>
      <c r="T10" s="770"/>
      <c r="U10" s="770"/>
      <c r="V10" s="770"/>
      <c r="W10" s="770"/>
      <c r="X10" s="770">
        <v>33</v>
      </c>
      <c r="Y10" s="824">
        <v>0.3</v>
      </c>
      <c r="Z10" s="821">
        <f>R10*Y10</f>
        <v>2810.9870999999998</v>
      </c>
      <c r="AA10" s="821"/>
      <c r="AB10" s="821">
        <f>R10</f>
        <v>9369.9570000000003</v>
      </c>
      <c r="AC10" s="825"/>
      <c r="AD10" s="825">
        <f>T10</f>
        <v>0</v>
      </c>
      <c r="AE10" s="826"/>
      <c r="AF10" s="826">
        <f>V10</f>
        <v>0</v>
      </c>
      <c r="AG10" s="827"/>
      <c r="AH10" s="826"/>
      <c r="AI10" s="828"/>
      <c r="AJ10" s="828"/>
      <c r="AK10" s="828"/>
      <c r="AL10" s="828"/>
      <c r="AM10" s="828"/>
      <c r="AN10" s="828"/>
      <c r="AO10" s="828"/>
      <c r="AP10" s="828"/>
      <c r="AQ10" s="828"/>
      <c r="AR10" s="828"/>
      <c r="AS10" s="828"/>
      <c r="AT10" s="828"/>
      <c r="AU10" s="828"/>
      <c r="AV10" s="828"/>
      <c r="AW10" s="828"/>
    </row>
    <row r="11" spans="2:52" s="96" customFormat="1" ht="58.5" hidden="1">
      <c r="B11" s="770"/>
      <c r="C11" s="819"/>
      <c r="D11" s="820" t="s">
        <v>501</v>
      </c>
      <c r="E11" s="770" t="s">
        <v>502</v>
      </c>
      <c r="F11" s="770">
        <v>14</v>
      </c>
      <c r="G11" s="821">
        <v>7001</v>
      </c>
      <c r="H11" s="822">
        <v>0.25</v>
      </c>
      <c r="I11" s="821">
        <f>G11*H11</f>
        <v>1750.25</v>
      </c>
      <c r="J11" s="824">
        <v>0.4</v>
      </c>
      <c r="K11" s="829">
        <f>(G11+I11)*J11</f>
        <v>3500.5</v>
      </c>
      <c r="L11" s="770"/>
      <c r="M11" s="770"/>
      <c r="N11" s="770"/>
      <c r="O11" s="770"/>
      <c r="P11" s="770"/>
      <c r="Q11" s="770"/>
      <c r="R11" s="823">
        <f t="shared" si="0"/>
        <v>12251.75</v>
      </c>
      <c r="S11" s="821">
        <v>1</v>
      </c>
      <c r="T11" s="821"/>
      <c r="U11" s="770"/>
      <c r="V11" s="770"/>
      <c r="W11" s="770"/>
      <c r="X11" s="770">
        <v>31</v>
      </c>
      <c r="Y11" s="824">
        <v>0.3</v>
      </c>
      <c r="Z11" s="821">
        <f>R11*Y11</f>
        <v>3675.5250000000001</v>
      </c>
      <c r="AA11" s="821"/>
      <c r="AB11" s="821">
        <f t="shared" ref="AB11:AB16" si="1">(R11+Z11)*S11</f>
        <v>15927.275</v>
      </c>
      <c r="AC11" s="825"/>
      <c r="AD11" s="825">
        <f>(T11+AB11)*U11</f>
        <v>0</v>
      </c>
      <c r="AE11" s="826"/>
      <c r="AF11" s="826">
        <f>(V11+AD11)*W11</f>
        <v>0</v>
      </c>
      <c r="AG11" s="827">
        <f t="shared" ref="AG11:AG16" si="2">6700*S11</f>
        <v>6700</v>
      </c>
      <c r="AH11" s="826"/>
      <c r="AI11" s="828"/>
      <c r="AJ11" s="828"/>
      <c r="AK11" s="828"/>
      <c r="AL11" s="828"/>
      <c r="AM11" s="828"/>
      <c r="AN11" s="828"/>
      <c r="AO11" s="828"/>
      <c r="AP11" s="828"/>
      <c r="AQ11" s="828"/>
      <c r="AR11" s="828"/>
      <c r="AS11" s="828"/>
      <c r="AT11" s="828"/>
      <c r="AU11" s="828"/>
      <c r="AV11" s="828"/>
      <c r="AW11" s="828"/>
    </row>
    <row r="12" spans="2:52" s="96" customFormat="1" ht="58.5">
      <c r="B12" s="770"/>
      <c r="C12" s="819" t="s">
        <v>1642</v>
      </c>
      <c r="D12" s="820" t="s">
        <v>499</v>
      </c>
      <c r="E12" s="770" t="s">
        <v>2133</v>
      </c>
      <c r="F12" s="770"/>
      <c r="G12" s="821">
        <f>R11</f>
        <v>12251.75</v>
      </c>
      <c r="H12" s="822">
        <v>0.44900000000000001</v>
      </c>
      <c r="I12" s="821">
        <f>2893*H12</f>
        <v>1298.9570000000001</v>
      </c>
      <c r="J12" s="770"/>
      <c r="K12" s="770"/>
      <c r="L12" s="770"/>
      <c r="M12" s="824">
        <v>0.15</v>
      </c>
      <c r="N12" s="821">
        <f>(G12+I12)*M12</f>
        <v>2032.6060499999999</v>
      </c>
      <c r="O12" s="821"/>
      <c r="P12" s="770"/>
      <c r="Q12" s="770"/>
      <c r="R12" s="821">
        <f t="shared" si="0"/>
        <v>15583.313050000001</v>
      </c>
      <c r="S12" s="821">
        <v>1</v>
      </c>
      <c r="T12" s="770"/>
      <c r="U12" s="770"/>
      <c r="V12" s="770"/>
      <c r="W12" s="770"/>
      <c r="X12" s="770">
        <v>34</v>
      </c>
      <c r="Y12" s="824">
        <v>0.3</v>
      </c>
      <c r="Z12" s="821">
        <f>R12*Y12*S12</f>
        <v>4674.993915</v>
      </c>
      <c r="AA12" s="821"/>
      <c r="AB12" s="821">
        <f t="shared" si="1"/>
        <v>20258.306965</v>
      </c>
      <c r="AC12" s="825"/>
      <c r="AD12" s="825">
        <f t="shared" ref="AD12:AD17" si="3">AB12+AC12</f>
        <v>20258.306965</v>
      </c>
      <c r="AE12" s="826">
        <f>AD12</f>
        <v>20258.306965</v>
      </c>
      <c r="AF12" s="826">
        <f t="shared" ref="AF12:AF17" si="4">AE12-AB12</f>
        <v>0</v>
      </c>
      <c r="AG12" s="827">
        <f t="shared" si="2"/>
        <v>6700</v>
      </c>
      <c r="AH12" s="826"/>
      <c r="AI12" s="828">
        <f t="shared" ref="AI12:AI17" si="5">G12*S12</f>
        <v>12251.75</v>
      </c>
      <c r="AJ12" s="828">
        <f t="shared" ref="AJ12:AJ17" si="6">G12*T12</f>
        <v>0</v>
      </c>
      <c r="AK12" s="828">
        <f t="shared" ref="AK12:AK17" si="7">R12*S12</f>
        <v>15583.313050000001</v>
      </c>
      <c r="AL12" s="828">
        <f t="shared" ref="AL12:AL17" si="8">R12*T12</f>
        <v>0</v>
      </c>
      <c r="AM12" s="828">
        <f t="shared" ref="AM12:AN17" si="9">AK12-AI12</f>
        <v>3331.5630500000007</v>
      </c>
      <c r="AN12" s="828">
        <f t="shared" si="9"/>
        <v>0</v>
      </c>
      <c r="AO12" s="830">
        <f t="shared" ref="AO12:AO17" si="10">Z12*S12</f>
        <v>4674.993915</v>
      </c>
      <c r="AP12" s="830">
        <f t="shared" ref="AP12:AP17" si="11">Z12*T12</f>
        <v>0</v>
      </c>
      <c r="AQ12" s="830">
        <f t="shared" ref="AQ12:AQ17" si="12">AA12</f>
        <v>0</v>
      </c>
      <c r="AR12" s="830">
        <f t="shared" ref="AR12:AR17" si="13">W12*S12</f>
        <v>0</v>
      </c>
      <c r="AS12" s="830">
        <f t="shared" ref="AS12:AS17" si="14">W12*T12</f>
        <v>0</v>
      </c>
      <c r="AT12" s="835">
        <f>AK12</f>
        <v>15583.313050000001</v>
      </c>
      <c r="AU12" s="835">
        <f>AL12</f>
        <v>0</v>
      </c>
      <c r="AV12" s="828"/>
      <c r="AW12" s="944">
        <f t="shared" ref="AW12:AW17" si="15">AT12+AU12-AV12</f>
        <v>15583.313050000001</v>
      </c>
    </row>
    <row r="13" spans="2:52" s="96" customFormat="1" ht="58.5">
      <c r="B13" s="770"/>
      <c r="C13" s="819" t="s">
        <v>1643</v>
      </c>
      <c r="D13" s="820" t="s">
        <v>499</v>
      </c>
      <c r="E13" s="770" t="s">
        <v>503</v>
      </c>
      <c r="F13" s="770">
        <v>15</v>
      </c>
      <c r="G13" s="821">
        <f>(G12*90%)</f>
        <v>11026.575000000001</v>
      </c>
      <c r="H13" s="822">
        <v>0.44900000000000001</v>
      </c>
      <c r="I13" s="821">
        <f>2893*H13</f>
        <v>1298.9570000000001</v>
      </c>
      <c r="J13" s="770"/>
      <c r="K13" s="770"/>
      <c r="L13" s="770"/>
      <c r="M13" s="824">
        <v>0.15</v>
      </c>
      <c r="N13" s="821">
        <f>(G13+I13)*M13</f>
        <v>1848.8298</v>
      </c>
      <c r="O13" s="821"/>
      <c r="P13" s="770"/>
      <c r="Q13" s="770"/>
      <c r="R13" s="821">
        <f>G13+I13+K13+L13+N13+P13+Q13+0.005</f>
        <v>14174.3668</v>
      </c>
      <c r="S13" s="821">
        <v>1</v>
      </c>
      <c r="T13" s="770"/>
      <c r="U13" s="770"/>
      <c r="V13" s="770"/>
      <c r="W13" s="770"/>
      <c r="X13" s="770">
        <v>19</v>
      </c>
      <c r="Y13" s="824">
        <v>0.2</v>
      </c>
      <c r="Z13" s="821">
        <f>R13*Y13*S13</f>
        <v>2834.87336</v>
      </c>
      <c r="AA13" s="821"/>
      <c r="AB13" s="821">
        <f t="shared" si="1"/>
        <v>17009.240160000001</v>
      </c>
      <c r="AC13" s="825">
        <f>AF13</f>
        <v>2990.7598399999988</v>
      </c>
      <c r="AD13" s="825">
        <f t="shared" si="3"/>
        <v>20000</v>
      </c>
      <c r="AE13" s="826">
        <f>20000*S13</f>
        <v>20000</v>
      </c>
      <c r="AF13" s="826">
        <f t="shared" si="4"/>
        <v>2990.7598399999988</v>
      </c>
      <c r="AG13" s="827">
        <f t="shared" si="2"/>
        <v>6700</v>
      </c>
      <c r="AH13" s="826"/>
      <c r="AI13" s="828">
        <f t="shared" si="5"/>
        <v>11026.575000000001</v>
      </c>
      <c r="AJ13" s="828">
        <f t="shared" si="6"/>
        <v>0</v>
      </c>
      <c r="AK13" s="828">
        <f t="shared" si="7"/>
        <v>14174.3668</v>
      </c>
      <c r="AL13" s="828">
        <f t="shared" si="8"/>
        <v>0</v>
      </c>
      <c r="AM13" s="828">
        <f t="shared" si="9"/>
        <v>3147.7917999999991</v>
      </c>
      <c r="AN13" s="828">
        <f t="shared" si="9"/>
        <v>0</v>
      </c>
      <c r="AO13" s="830">
        <f t="shared" si="10"/>
        <v>2834.87336</v>
      </c>
      <c r="AP13" s="830">
        <f t="shared" si="11"/>
        <v>0</v>
      </c>
      <c r="AQ13" s="830">
        <f t="shared" si="12"/>
        <v>0</v>
      </c>
      <c r="AR13" s="830">
        <f t="shared" si="13"/>
        <v>0</v>
      </c>
      <c r="AS13" s="830">
        <f t="shared" si="14"/>
        <v>0</v>
      </c>
      <c r="AT13" s="835">
        <f t="shared" ref="AT13:AT76" si="16">AK13</f>
        <v>14174.3668</v>
      </c>
      <c r="AU13" s="835">
        <f t="shared" ref="AU13:AU76" si="17">AL13</f>
        <v>0</v>
      </c>
      <c r="AV13" s="828"/>
      <c r="AW13" s="944">
        <f t="shared" si="15"/>
        <v>14174.3668</v>
      </c>
    </row>
    <row r="14" spans="2:52" s="96" customFormat="1" ht="63">
      <c r="B14" s="770"/>
      <c r="C14" s="819" t="s">
        <v>1644</v>
      </c>
      <c r="D14" s="820" t="s">
        <v>534</v>
      </c>
      <c r="E14" s="770" t="s">
        <v>513</v>
      </c>
      <c r="F14" s="770"/>
      <c r="G14" s="821">
        <f>(G13*85%)</f>
        <v>9372.5887500000008</v>
      </c>
      <c r="H14" s="822">
        <v>0.44900000000000001</v>
      </c>
      <c r="I14" s="821">
        <f>2893*H14</f>
        <v>1298.9570000000001</v>
      </c>
      <c r="J14" s="770"/>
      <c r="K14" s="770"/>
      <c r="L14" s="770"/>
      <c r="M14" s="824">
        <v>0.15</v>
      </c>
      <c r="N14" s="821">
        <f>(G14+I14)*M14</f>
        <v>1600.7318625</v>
      </c>
      <c r="O14" s="821"/>
      <c r="P14" s="770"/>
      <c r="Q14" s="770"/>
      <c r="R14" s="821">
        <f t="shared" si="0"/>
        <v>12272.277612500002</v>
      </c>
      <c r="S14" s="821">
        <v>1</v>
      </c>
      <c r="T14" s="770"/>
      <c r="U14" s="770"/>
      <c r="V14" s="770"/>
      <c r="W14" s="770"/>
      <c r="X14" s="813">
        <v>24</v>
      </c>
      <c r="Y14" s="824">
        <v>0.3</v>
      </c>
      <c r="Z14" s="821">
        <f>R14*Y14</f>
        <v>3681.6832837500006</v>
      </c>
      <c r="AA14" s="821"/>
      <c r="AB14" s="821">
        <f t="shared" si="1"/>
        <v>15953.960896250002</v>
      </c>
      <c r="AC14" s="825">
        <f>AF14</f>
        <v>4046.0391037499976</v>
      </c>
      <c r="AD14" s="825">
        <f t="shared" si="3"/>
        <v>20000</v>
      </c>
      <c r="AE14" s="826">
        <f>20000*S14</f>
        <v>20000</v>
      </c>
      <c r="AF14" s="826">
        <f t="shared" si="4"/>
        <v>4046.0391037499976</v>
      </c>
      <c r="AG14" s="827">
        <f t="shared" si="2"/>
        <v>6700</v>
      </c>
      <c r="AH14" s="826"/>
      <c r="AI14" s="828">
        <f t="shared" si="5"/>
        <v>9372.5887500000008</v>
      </c>
      <c r="AJ14" s="828">
        <f t="shared" si="6"/>
        <v>0</v>
      </c>
      <c r="AK14" s="828">
        <f t="shared" si="7"/>
        <v>12272.277612500002</v>
      </c>
      <c r="AL14" s="828">
        <f t="shared" si="8"/>
        <v>0</v>
      </c>
      <c r="AM14" s="828">
        <f>AK14-AI14</f>
        <v>2899.6888625000011</v>
      </c>
      <c r="AN14" s="828">
        <f>AL14-AJ14</f>
        <v>0</v>
      </c>
      <c r="AO14" s="830">
        <f t="shared" si="10"/>
        <v>3681.6832837500006</v>
      </c>
      <c r="AP14" s="830">
        <f t="shared" si="11"/>
        <v>0</v>
      </c>
      <c r="AQ14" s="830">
        <f t="shared" si="12"/>
        <v>0</v>
      </c>
      <c r="AR14" s="830">
        <f t="shared" si="13"/>
        <v>0</v>
      </c>
      <c r="AS14" s="830">
        <f t="shared" si="14"/>
        <v>0</v>
      </c>
      <c r="AT14" s="835">
        <f t="shared" si="16"/>
        <v>12272.277612500002</v>
      </c>
      <c r="AU14" s="835">
        <f t="shared" si="17"/>
        <v>0</v>
      </c>
      <c r="AV14" s="828"/>
      <c r="AW14" s="944">
        <f t="shared" si="15"/>
        <v>12272.277612500002</v>
      </c>
    </row>
    <row r="15" spans="2:52" s="196" customFormat="1" ht="33">
      <c r="B15" s="770"/>
      <c r="C15" s="819" t="s">
        <v>1645</v>
      </c>
      <c r="D15" s="820" t="s">
        <v>500</v>
      </c>
      <c r="E15" s="770" t="s">
        <v>1845</v>
      </c>
      <c r="F15" s="770"/>
      <c r="G15" s="821">
        <f>(G12*95%)</f>
        <v>11639.1625</v>
      </c>
      <c r="H15" s="770"/>
      <c r="I15" s="770"/>
      <c r="J15" s="770"/>
      <c r="K15" s="770"/>
      <c r="L15" s="770"/>
      <c r="M15" s="824">
        <v>0.15</v>
      </c>
      <c r="N15" s="821">
        <f>(G15+I15)*M15</f>
        <v>1745.8743750000001</v>
      </c>
      <c r="O15" s="821"/>
      <c r="P15" s="770"/>
      <c r="Q15" s="770"/>
      <c r="R15" s="821">
        <f t="shared" si="0"/>
        <v>13385.036875</v>
      </c>
      <c r="S15" s="821">
        <v>1</v>
      </c>
      <c r="T15" s="770"/>
      <c r="U15" s="770"/>
      <c r="V15" s="770"/>
      <c r="W15" s="770"/>
      <c r="X15" s="770"/>
      <c r="Y15" s="770"/>
      <c r="Z15" s="770"/>
      <c r="AA15" s="821"/>
      <c r="AB15" s="821">
        <f t="shared" si="1"/>
        <v>13385.036875</v>
      </c>
      <c r="AC15" s="825"/>
      <c r="AD15" s="825">
        <f t="shared" si="3"/>
        <v>13385.036875</v>
      </c>
      <c r="AE15" s="826">
        <f>AD15</f>
        <v>13385.036875</v>
      </c>
      <c r="AF15" s="826">
        <f t="shared" si="4"/>
        <v>0</v>
      </c>
      <c r="AG15" s="827">
        <f t="shared" si="2"/>
        <v>6700</v>
      </c>
      <c r="AH15" s="826"/>
      <c r="AI15" s="828">
        <f t="shared" si="5"/>
        <v>11639.1625</v>
      </c>
      <c r="AJ15" s="828">
        <f t="shared" si="6"/>
        <v>0</v>
      </c>
      <c r="AK15" s="828">
        <f t="shared" si="7"/>
        <v>13385.036875</v>
      </c>
      <c r="AL15" s="828">
        <f t="shared" si="8"/>
        <v>0</v>
      </c>
      <c r="AM15" s="828">
        <f t="shared" si="9"/>
        <v>1745.8743749999994</v>
      </c>
      <c r="AN15" s="828">
        <f t="shared" si="9"/>
        <v>0</v>
      </c>
      <c r="AO15" s="830">
        <f t="shared" si="10"/>
        <v>0</v>
      </c>
      <c r="AP15" s="830">
        <f t="shared" si="11"/>
        <v>0</v>
      </c>
      <c r="AQ15" s="830">
        <f t="shared" si="12"/>
        <v>0</v>
      </c>
      <c r="AR15" s="830">
        <f t="shared" si="13"/>
        <v>0</v>
      </c>
      <c r="AS15" s="830">
        <f t="shared" si="14"/>
        <v>0</v>
      </c>
      <c r="AT15" s="835">
        <f t="shared" si="16"/>
        <v>13385.036875</v>
      </c>
      <c r="AU15" s="835">
        <f t="shared" si="17"/>
        <v>0</v>
      </c>
      <c r="AV15" s="828"/>
      <c r="AW15" s="944">
        <f t="shared" si="15"/>
        <v>13385.036875</v>
      </c>
      <c r="AZ15" s="197"/>
    </row>
    <row r="16" spans="2:52" s="196" customFormat="1" ht="58.5">
      <c r="B16" s="770"/>
      <c r="C16" s="819" t="s">
        <v>1304</v>
      </c>
      <c r="D16" s="820" t="s">
        <v>1669</v>
      </c>
      <c r="E16" s="770" t="s">
        <v>1305</v>
      </c>
      <c r="F16" s="770">
        <v>11</v>
      </c>
      <c r="G16" s="821">
        <v>5699</v>
      </c>
      <c r="H16" s="822">
        <v>0.28299999999999997</v>
      </c>
      <c r="I16" s="821">
        <f>2893*H16</f>
        <v>818.71899999999994</v>
      </c>
      <c r="J16" s="831"/>
      <c r="K16" s="831"/>
      <c r="L16" s="831"/>
      <c r="M16" s="824">
        <v>0.15</v>
      </c>
      <c r="N16" s="821">
        <f>(G16*M16)</f>
        <v>854.85</v>
      </c>
      <c r="O16" s="821"/>
      <c r="P16" s="831"/>
      <c r="Q16" s="831"/>
      <c r="R16" s="821">
        <f>G16+I16+K16+L16+N16+P16+Q16</f>
        <v>7372.5690000000004</v>
      </c>
      <c r="S16" s="821">
        <v>1</v>
      </c>
      <c r="T16" s="831"/>
      <c r="U16" s="831"/>
      <c r="V16" s="831"/>
      <c r="W16" s="831"/>
      <c r="X16" s="770">
        <v>27</v>
      </c>
      <c r="Y16" s="824">
        <v>0.3</v>
      </c>
      <c r="Z16" s="821">
        <f>R16*Y16*S16</f>
        <v>2211.7707</v>
      </c>
      <c r="AA16" s="821"/>
      <c r="AB16" s="821">
        <f t="shared" si="1"/>
        <v>9584.3397000000004</v>
      </c>
      <c r="AC16" s="825">
        <f>AF16</f>
        <v>3915.6602999999996</v>
      </c>
      <c r="AD16" s="825">
        <f t="shared" si="3"/>
        <v>13500</v>
      </c>
      <c r="AE16" s="826">
        <f>13500*S16</f>
        <v>13500</v>
      </c>
      <c r="AF16" s="826">
        <f t="shared" si="4"/>
        <v>3915.6602999999996</v>
      </c>
      <c r="AG16" s="827">
        <f t="shared" si="2"/>
        <v>6700</v>
      </c>
      <c r="AH16" s="826"/>
      <c r="AI16" s="828">
        <f t="shared" si="5"/>
        <v>5699</v>
      </c>
      <c r="AJ16" s="828">
        <f t="shared" si="6"/>
        <v>0</v>
      </c>
      <c r="AK16" s="828">
        <f t="shared" si="7"/>
        <v>7372.5690000000004</v>
      </c>
      <c r="AL16" s="828">
        <f t="shared" si="8"/>
        <v>0</v>
      </c>
      <c r="AM16" s="828">
        <f>AK16-AI16</f>
        <v>1673.5690000000004</v>
      </c>
      <c r="AN16" s="828">
        <f t="shared" si="9"/>
        <v>0</v>
      </c>
      <c r="AO16" s="830">
        <f t="shared" si="10"/>
        <v>2211.7707</v>
      </c>
      <c r="AP16" s="830">
        <f t="shared" si="11"/>
        <v>0</v>
      </c>
      <c r="AQ16" s="830">
        <f t="shared" si="12"/>
        <v>0</v>
      </c>
      <c r="AR16" s="830">
        <f t="shared" si="13"/>
        <v>0</v>
      </c>
      <c r="AS16" s="830">
        <f t="shared" si="14"/>
        <v>0</v>
      </c>
      <c r="AT16" s="835">
        <f t="shared" si="16"/>
        <v>7372.5690000000004</v>
      </c>
      <c r="AU16" s="835">
        <f t="shared" si="17"/>
        <v>0</v>
      </c>
      <c r="AV16" s="828"/>
      <c r="AW16" s="944">
        <f t="shared" si="15"/>
        <v>7372.5690000000004</v>
      </c>
      <c r="AY16" s="197"/>
    </row>
    <row r="17" spans="2:49" s="200" customFormat="1" ht="33">
      <c r="B17" s="770"/>
      <c r="C17" s="819" t="s">
        <v>1502</v>
      </c>
      <c r="D17" s="820"/>
      <c r="E17" s="770" t="s">
        <v>1503</v>
      </c>
      <c r="F17" s="770">
        <v>6</v>
      </c>
      <c r="G17" s="821">
        <v>4195</v>
      </c>
      <c r="H17" s="821"/>
      <c r="I17" s="821"/>
      <c r="J17" s="821"/>
      <c r="K17" s="821"/>
      <c r="L17" s="821"/>
      <c r="M17" s="821"/>
      <c r="N17" s="821"/>
      <c r="O17" s="821"/>
      <c r="P17" s="821"/>
      <c r="Q17" s="821"/>
      <c r="R17" s="821">
        <f>G17+I17+K17+L17+N17+P17+Q17</f>
        <v>4195</v>
      </c>
      <c r="S17" s="821">
        <v>1</v>
      </c>
      <c r="T17" s="821"/>
      <c r="U17" s="831"/>
      <c r="V17" s="831"/>
      <c r="W17" s="831"/>
      <c r="X17" s="770"/>
      <c r="Y17" s="824"/>
      <c r="Z17" s="821"/>
      <c r="AA17" s="821">
        <f>AH17</f>
        <v>2505</v>
      </c>
      <c r="AB17" s="821">
        <f>(R17+AA17)*S17</f>
        <v>6700</v>
      </c>
      <c r="AC17" s="825">
        <f>AF17</f>
        <v>0</v>
      </c>
      <c r="AD17" s="825">
        <f t="shared" si="3"/>
        <v>6700</v>
      </c>
      <c r="AE17" s="826">
        <f>AB17</f>
        <v>6700</v>
      </c>
      <c r="AF17" s="826">
        <f t="shared" si="4"/>
        <v>0</v>
      </c>
      <c r="AG17" s="827">
        <f>6700*S17</f>
        <v>6700</v>
      </c>
      <c r="AH17" s="826">
        <f>AG17-(R17*S17)</f>
        <v>2505</v>
      </c>
      <c r="AI17" s="828">
        <f t="shared" si="5"/>
        <v>4195</v>
      </c>
      <c r="AJ17" s="828">
        <f t="shared" si="6"/>
        <v>0</v>
      </c>
      <c r="AK17" s="828">
        <f t="shared" si="7"/>
        <v>4195</v>
      </c>
      <c r="AL17" s="828">
        <f t="shared" si="8"/>
        <v>0</v>
      </c>
      <c r="AM17" s="828">
        <f>AK17-AI17</f>
        <v>0</v>
      </c>
      <c r="AN17" s="828">
        <f t="shared" si="9"/>
        <v>0</v>
      </c>
      <c r="AO17" s="830">
        <f t="shared" si="10"/>
        <v>0</v>
      </c>
      <c r="AP17" s="830">
        <f t="shared" si="11"/>
        <v>0</v>
      </c>
      <c r="AQ17" s="830">
        <f t="shared" si="12"/>
        <v>2505</v>
      </c>
      <c r="AR17" s="830">
        <f t="shared" si="13"/>
        <v>0</v>
      </c>
      <c r="AS17" s="830">
        <f t="shared" si="14"/>
        <v>0</v>
      </c>
      <c r="AT17" s="835">
        <f t="shared" si="16"/>
        <v>4195</v>
      </c>
      <c r="AU17" s="835">
        <f t="shared" si="17"/>
        <v>0</v>
      </c>
      <c r="AV17" s="828"/>
      <c r="AW17" s="944">
        <f t="shared" si="15"/>
        <v>4195</v>
      </c>
    </row>
    <row r="18" spans="2:49" s="196" customFormat="1" ht="31.5">
      <c r="B18" s="770"/>
      <c r="C18" s="799" t="s">
        <v>504</v>
      </c>
      <c r="D18" s="832"/>
      <c r="E18" s="812"/>
      <c r="F18" s="812"/>
      <c r="G18" s="802">
        <f>SUM(G12:G17)</f>
        <v>54184.076249999998</v>
      </c>
      <c r="H18" s="802"/>
      <c r="I18" s="802">
        <f>SUM(I12:I17)</f>
        <v>4715.59</v>
      </c>
      <c r="J18" s="802"/>
      <c r="K18" s="802"/>
      <c r="L18" s="802"/>
      <c r="M18" s="802"/>
      <c r="N18" s="802">
        <f>SUM(N12:N17)</f>
        <v>8082.8920875000003</v>
      </c>
      <c r="O18" s="802"/>
      <c r="P18" s="802"/>
      <c r="Q18" s="802"/>
      <c r="R18" s="802">
        <f>SUM(R12:R17)</f>
        <v>66982.563337500003</v>
      </c>
      <c r="S18" s="802">
        <f>SUM(S12:S17)</f>
        <v>6</v>
      </c>
      <c r="T18" s="802">
        <f>SUM(T12:T17)</f>
        <v>0</v>
      </c>
      <c r="U18" s="802"/>
      <c r="V18" s="802"/>
      <c r="W18" s="802"/>
      <c r="X18" s="802"/>
      <c r="Y18" s="802"/>
      <c r="Z18" s="802">
        <f t="shared" ref="Z18:AW18" si="18">SUM(Z12:Z17)</f>
        <v>13403.321258750002</v>
      </c>
      <c r="AA18" s="802">
        <f t="shared" si="18"/>
        <v>2505</v>
      </c>
      <c r="AB18" s="802">
        <f t="shared" si="18"/>
        <v>82890.884596250005</v>
      </c>
      <c r="AC18" s="802">
        <f t="shared" si="18"/>
        <v>10952.459243749996</v>
      </c>
      <c r="AD18" s="802">
        <f t="shared" si="18"/>
        <v>93843.343840000001</v>
      </c>
      <c r="AE18" s="802">
        <f t="shared" si="18"/>
        <v>93843.343840000001</v>
      </c>
      <c r="AF18" s="802">
        <f t="shared" si="18"/>
        <v>10952.459243749996</v>
      </c>
      <c r="AG18" s="802">
        <f t="shared" si="18"/>
        <v>40200</v>
      </c>
      <c r="AH18" s="802">
        <f t="shared" si="18"/>
        <v>2505</v>
      </c>
      <c r="AI18" s="802">
        <f t="shared" si="18"/>
        <v>54184.076249999998</v>
      </c>
      <c r="AJ18" s="802">
        <f t="shared" si="18"/>
        <v>0</v>
      </c>
      <c r="AK18" s="802">
        <f t="shared" si="18"/>
        <v>66982.563337500003</v>
      </c>
      <c r="AL18" s="802">
        <f t="shared" si="18"/>
        <v>0</v>
      </c>
      <c r="AM18" s="802">
        <f t="shared" si="18"/>
        <v>12798.487087500002</v>
      </c>
      <c r="AN18" s="802">
        <f t="shared" si="18"/>
        <v>0</v>
      </c>
      <c r="AO18" s="802">
        <f t="shared" si="18"/>
        <v>13403.321258750002</v>
      </c>
      <c r="AP18" s="802">
        <f t="shared" si="18"/>
        <v>0</v>
      </c>
      <c r="AQ18" s="802">
        <f t="shared" si="18"/>
        <v>2505</v>
      </c>
      <c r="AR18" s="802">
        <f t="shared" si="18"/>
        <v>0</v>
      </c>
      <c r="AS18" s="802">
        <f t="shared" si="18"/>
        <v>0</v>
      </c>
      <c r="AT18" s="802">
        <f t="shared" si="18"/>
        <v>66982.563337500003</v>
      </c>
      <c r="AU18" s="802">
        <f t="shared" si="18"/>
        <v>0</v>
      </c>
      <c r="AV18" s="802">
        <f t="shared" si="18"/>
        <v>0</v>
      </c>
      <c r="AW18" s="802">
        <f t="shared" si="18"/>
        <v>66982.563337500003</v>
      </c>
    </row>
    <row r="19" spans="2:49" s="196" customFormat="1" ht="33">
      <c r="B19" s="770"/>
      <c r="C19" s="810" t="s">
        <v>812</v>
      </c>
      <c r="D19" s="811"/>
      <c r="E19" s="812"/>
      <c r="F19" s="812"/>
      <c r="G19" s="812"/>
      <c r="H19" s="813"/>
      <c r="I19" s="812"/>
      <c r="J19" s="813"/>
      <c r="K19" s="812"/>
      <c r="L19" s="812"/>
      <c r="M19" s="813"/>
      <c r="N19" s="812"/>
      <c r="O19" s="813"/>
      <c r="P19" s="812"/>
      <c r="Q19" s="812"/>
      <c r="R19" s="812"/>
      <c r="S19" s="812"/>
      <c r="T19" s="812"/>
      <c r="U19" s="812"/>
      <c r="V19" s="812"/>
      <c r="W19" s="812"/>
      <c r="X19" s="812"/>
      <c r="Y19" s="812"/>
      <c r="Z19" s="812"/>
      <c r="AA19" s="812"/>
      <c r="AB19" s="812"/>
      <c r="AC19" s="834"/>
      <c r="AD19" s="834"/>
      <c r="AE19" s="815"/>
      <c r="AF19" s="815"/>
      <c r="AG19" s="816"/>
      <c r="AH19" s="815"/>
      <c r="AI19" s="828">
        <f t="shared" ref="AI19:AI26" si="19">G19*S19</f>
        <v>0</v>
      </c>
      <c r="AJ19" s="828">
        <f t="shared" ref="AJ19:AJ26" si="20">G19*T19</f>
        <v>0</v>
      </c>
      <c r="AK19" s="828">
        <f t="shared" ref="AK19:AK26" si="21">R19*S19</f>
        <v>0</v>
      </c>
      <c r="AL19" s="828">
        <f t="shared" ref="AL19:AL26" si="22">R19*T19</f>
        <v>0</v>
      </c>
      <c r="AM19" s="828">
        <f t="shared" ref="AM19:AN26" si="23">AK19-AI19</f>
        <v>0</v>
      </c>
      <c r="AN19" s="828">
        <f t="shared" si="23"/>
        <v>0</v>
      </c>
      <c r="AO19" s="830">
        <f t="shared" ref="AO19:AO26" si="24">Z19*S19</f>
        <v>0</v>
      </c>
      <c r="AP19" s="830">
        <f t="shared" ref="AP19:AP26" si="25">Z19*T19</f>
        <v>0</v>
      </c>
      <c r="AQ19" s="830">
        <f t="shared" ref="AQ19:AQ26" si="26">AA19</f>
        <v>0</v>
      </c>
      <c r="AR19" s="830">
        <f t="shared" ref="AR19:AR26" si="27">W19*S19</f>
        <v>0</v>
      </c>
      <c r="AS19" s="830">
        <f t="shared" ref="AS19:AS26" si="28">W19*T19</f>
        <v>0</v>
      </c>
      <c r="AT19" s="835">
        <f t="shared" si="16"/>
        <v>0</v>
      </c>
      <c r="AU19" s="835">
        <f t="shared" si="17"/>
        <v>0</v>
      </c>
      <c r="AV19" s="828"/>
      <c r="AW19" s="944">
        <f t="shared" ref="AW19:AW26" si="29">AT19+AU19-AV19</f>
        <v>0</v>
      </c>
    </row>
    <row r="20" spans="2:49" s="196" customFormat="1" ht="33">
      <c r="B20" s="770"/>
      <c r="C20" s="819" t="s">
        <v>1480</v>
      </c>
      <c r="D20" s="820" t="s">
        <v>500</v>
      </c>
      <c r="E20" s="770" t="s">
        <v>1481</v>
      </c>
      <c r="F20" s="831">
        <v>15</v>
      </c>
      <c r="G20" s="821">
        <f>G12*90%</f>
        <v>11026.575000000001</v>
      </c>
      <c r="H20" s="821"/>
      <c r="I20" s="821"/>
      <c r="J20" s="831"/>
      <c r="K20" s="831"/>
      <c r="L20" s="831"/>
      <c r="M20" s="824">
        <v>0.15</v>
      </c>
      <c r="N20" s="821">
        <f>(G20+I20)*M20</f>
        <v>1653.9862500000002</v>
      </c>
      <c r="O20" s="824"/>
      <c r="P20" s="831"/>
      <c r="Q20" s="831"/>
      <c r="R20" s="821">
        <f>G20+I20+K20+L20+N20+P20+Q20+0.004</f>
        <v>12680.565250000001</v>
      </c>
      <c r="S20" s="821">
        <v>1</v>
      </c>
      <c r="T20" s="831"/>
      <c r="U20" s="831"/>
      <c r="V20" s="831"/>
      <c r="W20" s="831"/>
      <c r="X20" s="770"/>
      <c r="Y20" s="824"/>
      <c r="Z20" s="821"/>
      <c r="AA20" s="821"/>
      <c r="AB20" s="821">
        <f>(R20+Z20)*S20</f>
        <v>12680.565250000001</v>
      </c>
      <c r="AC20" s="825">
        <f t="shared" ref="AC20:AC26" si="30">AF20</f>
        <v>0</v>
      </c>
      <c r="AD20" s="825">
        <f t="shared" ref="AD20:AD26" si="31">AB20+AC20</f>
        <v>12680.565250000001</v>
      </c>
      <c r="AE20" s="826">
        <f t="shared" ref="AE20:AE26" si="32">AB20</f>
        <v>12680.565250000001</v>
      </c>
      <c r="AF20" s="826">
        <f t="shared" ref="AF20:AF26" si="33">AE20-AB20</f>
        <v>0</v>
      </c>
      <c r="AG20" s="827">
        <f>6700*S20</f>
        <v>6700</v>
      </c>
      <c r="AH20" s="826"/>
      <c r="AI20" s="835">
        <f t="shared" si="19"/>
        <v>11026.575000000001</v>
      </c>
      <c r="AJ20" s="835">
        <f t="shared" si="20"/>
        <v>0</v>
      </c>
      <c r="AK20" s="835">
        <f t="shared" si="21"/>
        <v>12680.565250000001</v>
      </c>
      <c r="AL20" s="835">
        <f t="shared" si="22"/>
        <v>0</v>
      </c>
      <c r="AM20" s="835">
        <f t="shared" si="23"/>
        <v>1653.9902500000007</v>
      </c>
      <c r="AN20" s="835">
        <f t="shared" si="23"/>
        <v>0</v>
      </c>
      <c r="AO20" s="835">
        <f t="shared" si="24"/>
        <v>0</v>
      </c>
      <c r="AP20" s="835">
        <f t="shared" si="25"/>
        <v>0</v>
      </c>
      <c r="AQ20" s="830">
        <f t="shared" si="26"/>
        <v>0</v>
      </c>
      <c r="AR20" s="830">
        <f t="shared" si="27"/>
        <v>0</v>
      </c>
      <c r="AS20" s="830">
        <f t="shared" si="28"/>
        <v>0</v>
      </c>
      <c r="AT20" s="835">
        <f t="shared" si="16"/>
        <v>12680.565250000001</v>
      </c>
      <c r="AU20" s="835">
        <f t="shared" si="17"/>
        <v>0</v>
      </c>
      <c r="AV20" s="835"/>
      <c r="AW20" s="944">
        <f t="shared" si="29"/>
        <v>12680.565250000001</v>
      </c>
    </row>
    <row r="21" spans="2:49" s="196" customFormat="1" ht="33">
      <c r="B21" s="770"/>
      <c r="C21" s="819" t="s">
        <v>1482</v>
      </c>
      <c r="D21" s="820" t="s">
        <v>500</v>
      </c>
      <c r="E21" s="770" t="s">
        <v>598</v>
      </c>
      <c r="F21" s="831">
        <v>15</v>
      </c>
      <c r="G21" s="821">
        <f>G20*90%</f>
        <v>9923.9175000000014</v>
      </c>
      <c r="H21" s="821"/>
      <c r="I21" s="821"/>
      <c r="J21" s="821"/>
      <c r="K21" s="821"/>
      <c r="L21" s="821"/>
      <c r="M21" s="824">
        <v>0.15</v>
      </c>
      <c r="N21" s="821">
        <f>(G21+I21)*M21</f>
        <v>1488.5876250000001</v>
      </c>
      <c r="O21" s="824"/>
      <c r="P21" s="821"/>
      <c r="Q21" s="821"/>
      <c r="R21" s="821">
        <f t="shared" ref="R21:R26" si="34">G21+I21+K21+L21+N21+P21+Q21</f>
        <v>11412.505125000001</v>
      </c>
      <c r="S21" s="821">
        <v>1</v>
      </c>
      <c r="T21" s="831"/>
      <c r="U21" s="831"/>
      <c r="V21" s="831"/>
      <c r="W21" s="831"/>
      <c r="X21" s="770"/>
      <c r="Y21" s="824"/>
      <c r="Z21" s="821"/>
      <c r="AA21" s="821"/>
      <c r="AB21" s="821">
        <f>(R21+Z21)*S21</f>
        <v>11412.505125000001</v>
      </c>
      <c r="AC21" s="825">
        <f t="shared" si="30"/>
        <v>0</v>
      </c>
      <c r="AD21" s="825">
        <f t="shared" si="31"/>
        <v>11412.505125000001</v>
      </c>
      <c r="AE21" s="826">
        <f t="shared" si="32"/>
        <v>11412.505125000001</v>
      </c>
      <c r="AF21" s="826">
        <f t="shared" si="33"/>
        <v>0</v>
      </c>
      <c r="AG21" s="827">
        <f>6700*S21</f>
        <v>6700</v>
      </c>
      <c r="AH21" s="826"/>
      <c r="AI21" s="835">
        <f t="shared" si="19"/>
        <v>9923.9175000000014</v>
      </c>
      <c r="AJ21" s="835">
        <f t="shared" si="20"/>
        <v>0</v>
      </c>
      <c r="AK21" s="835">
        <f t="shared" si="21"/>
        <v>11412.505125000001</v>
      </c>
      <c r="AL21" s="835">
        <f t="shared" si="22"/>
        <v>0</v>
      </c>
      <c r="AM21" s="835">
        <f t="shared" si="23"/>
        <v>1488.5876250000001</v>
      </c>
      <c r="AN21" s="835">
        <f t="shared" si="23"/>
        <v>0</v>
      </c>
      <c r="AO21" s="835">
        <f t="shared" si="24"/>
        <v>0</v>
      </c>
      <c r="AP21" s="835">
        <f t="shared" si="25"/>
        <v>0</v>
      </c>
      <c r="AQ21" s="830">
        <f t="shared" si="26"/>
        <v>0</v>
      </c>
      <c r="AR21" s="830">
        <f t="shared" si="27"/>
        <v>0</v>
      </c>
      <c r="AS21" s="830">
        <f t="shared" si="28"/>
        <v>0</v>
      </c>
      <c r="AT21" s="835">
        <f t="shared" si="16"/>
        <v>11412.505125000001</v>
      </c>
      <c r="AU21" s="835">
        <f t="shared" si="17"/>
        <v>0</v>
      </c>
      <c r="AV21" s="835"/>
      <c r="AW21" s="944">
        <f t="shared" si="29"/>
        <v>11412.505125000001</v>
      </c>
    </row>
    <row r="22" spans="2:49" s="196" customFormat="1" ht="33">
      <c r="B22" s="770"/>
      <c r="C22" s="819" t="s">
        <v>1484</v>
      </c>
      <c r="D22" s="820" t="s">
        <v>1485</v>
      </c>
      <c r="E22" s="770" t="s">
        <v>1486</v>
      </c>
      <c r="F22" s="770">
        <v>8</v>
      </c>
      <c r="G22" s="821">
        <v>4745</v>
      </c>
      <c r="H22" s="821"/>
      <c r="I22" s="821"/>
      <c r="J22" s="821"/>
      <c r="K22" s="821"/>
      <c r="L22" s="821"/>
      <c r="M22" s="821"/>
      <c r="N22" s="821"/>
      <c r="O22" s="821"/>
      <c r="P22" s="821"/>
      <c r="Q22" s="821"/>
      <c r="R22" s="821">
        <f t="shared" si="34"/>
        <v>4745</v>
      </c>
      <c r="S22" s="821">
        <v>1</v>
      </c>
      <c r="T22" s="831"/>
      <c r="U22" s="831"/>
      <c r="V22" s="831"/>
      <c r="W22" s="831"/>
      <c r="X22" s="770"/>
      <c r="Y22" s="824"/>
      <c r="Z22" s="821"/>
      <c r="AA22" s="821">
        <f>AH22</f>
        <v>1955</v>
      </c>
      <c r="AB22" s="821">
        <f>(R22+AA22)*S22</f>
        <v>6700</v>
      </c>
      <c r="AC22" s="825">
        <f t="shared" si="30"/>
        <v>0</v>
      </c>
      <c r="AD22" s="825">
        <f t="shared" si="31"/>
        <v>6700</v>
      </c>
      <c r="AE22" s="826">
        <f t="shared" si="32"/>
        <v>6700</v>
      </c>
      <c r="AF22" s="826">
        <f t="shared" si="33"/>
        <v>0</v>
      </c>
      <c r="AG22" s="827">
        <f>6700*S22</f>
        <v>6700</v>
      </c>
      <c r="AH22" s="826">
        <f>AG22-(R22*S22)</f>
        <v>1955</v>
      </c>
      <c r="AI22" s="828">
        <f t="shared" si="19"/>
        <v>4745</v>
      </c>
      <c r="AJ22" s="828">
        <f t="shared" si="20"/>
        <v>0</v>
      </c>
      <c r="AK22" s="828">
        <f t="shared" si="21"/>
        <v>4745</v>
      </c>
      <c r="AL22" s="828">
        <f t="shared" si="22"/>
        <v>0</v>
      </c>
      <c r="AM22" s="828">
        <f t="shared" si="23"/>
        <v>0</v>
      </c>
      <c r="AN22" s="828">
        <f t="shared" si="23"/>
        <v>0</v>
      </c>
      <c r="AO22" s="830">
        <f t="shared" si="24"/>
        <v>0</v>
      </c>
      <c r="AP22" s="830">
        <f t="shared" si="25"/>
        <v>0</v>
      </c>
      <c r="AQ22" s="830">
        <f t="shared" si="26"/>
        <v>1955</v>
      </c>
      <c r="AR22" s="830">
        <f t="shared" si="27"/>
        <v>0</v>
      </c>
      <c r="AS22" s="830">
        <f t="shared" si="28"/>
        <v>0</v>
      </c>
      <c r="AT22" s="835">
        <f t="shared" si="16"/>
        <v>4745</v>
      </c>
      <c r="AU22" s="835">
        <f t="shared" si="17"/>
        <v>0</v>
      </c>
      <c r="AV22" s="828"/>
      <c r="AW22" s="944">
        <f t="shared" si="29"/>
        <v>4745</v>
      </c>
    </row>
    <row r="23" spans="2:49" s="196" customFormat="1" ht="33">
      <c r="B23" s="770"/>
      <c r="C23" s="819" t="s">
        <v>1484</v>
      </c>
      <c r="D23" s="820"/>
      <c r="E23" s="770" t="s">
        <v>599</v>
      </c>
      <c r="F23" s="770">
        <v>7</v>
      </c>
      <c r="G23" s="821">
        <v>4455</v>
      </c>
      <c r="H23" s="821"/>
      <c r="I23" s="821"/>
      <c r="J23" s="821"/>
      <c r="K23" s="821"/>
      <c r="L23" s="821"/>
      <c r="M23" s="821"/>
      <c r="N23" s="821"/>
      <c r="O23" s="821"/>
      <c r="P23" s="821"/>
      <c r="Q23" s="821"/>
      <c r="R23" s="821">
        <f t="shared" si="34"/>
        <v>4455</v>
      </c>
      <c r="S23" s="821">
        <v>1</v>
      </c>
      <c r="T23" s="831"/>
      <c r="U23" s="831"/>
      <c r="V23" s="831"/>
      <c r="W23" s="831"/>
      <c r="X23" s="770"/>
      <c r="Y23" s="824"/>
      <c r="Z23" s="821"/>
      <c r="AA23" s="821">
        <f>AH23</f>
        <v>2245</v>
      </c>
      <c r="AB23" s="821">
        <f>(R23+AA23)*S23</f>
        <v>6700</v>
      </c>
      <c r="AC23" s="825">
        <f t="shared" si="30"/>
        <v>0</v>
      </c>
      <c r="AD23" s="825">
        <f t="shared" si="31"/>
        <v>6700</v>
      </c>
      <c r="AE23" s="826">
        <f t="shared" si="32"/>
        <v>6700</v>
      </c>
      <c r="AF23" s="826">
        <f t="shared" si="33"/>
        <v>0</v>
      </c>
      <c r="AG23" s="827">
        <f>6700*S23</f>
        <v>6700</v>
      </c>
      <c r="AH23" s="826">
        <f>AG23-(R23*S23)</f>
        <v>2245</v>
      </c>
      <c r="AI23" s="828">
        <f t="shared" si="19"/>
        <v>4455</v>
      </c>
      <c r="AJ23" s="828">
        <f t="shared" si="20"/>
        <v>0</v>
      </c>
      <c r="AK23" s="828">
        <f t="shared" si="21"/>
        <v>4455</v>
      </c>
      <c r="AL23" s="828">
        <f t="shared" si="22"/>
        <v>0</v>
      </c>
      <c r="AM23" s="828">
        <f t="shared" si="23"/>
        <v>0</v>
      </c>
      <c r="AN23" s="828">
        <f t="shared" si="23"/>
        <v>0</v>
      </c>
      <c r="AO23" s="830">
        <f t="shared" si="24"/>
        <v>0</v>
      </c>
      <c r="AP23" s="830">
        <f t="shared" si="25"/>
        <v>0</v>
      </c>
      <c r="AQ23" s="830">
        <f t="shared" si="26"/>
        <v>2245</v>
      </c>
      <c r="AR23" s="830">
        <f t="shared" si="27"/>
        <v>0</v>
      </c>
      <c r="AS23" s="830">
        <f t="shared" si="28"/>
        <v>0</v>
      </c>
      <c r="AT23" s="835">
        <f t="shared" si="16"/>
        <v>4455</v>
      </c>
      <c r="AU23" s="835">
        <f t="shared" si="17"/>
        <v>0</v>
      </c>
      <c r="AV23" s="828"/>
      <c r="AW23" s="944">
        <f t="shared" si="29"/>
        <v>4455</v>
      </c>
    </row>
    <row r="24" spans="2:49" s="198" customFormat="1" ht="33">
      <c r="B24" s="770"/>
      <c r="C24" s="819" t="s">
        <v>1488</v>
      </c>
      <c r="D24" s="820"/>
      <c r="E24" s="770" t="s">
        <v>1483</v>
      </c>
      <c r="F24" s="770">
        <v>7</v>
      </c>
      <c r="G24" s="821">
        <v>4455</v>
      </c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>
        <f t="shared" si="34"/>
        <v>4455</v>
      </c>
      <c r="S24" s="821"/>
      <c r="T24" s="831">
        <v>0.5</v>
      </c>
      <c r="U24" s="831"/>
      <c r="V24" s="831"/>
      <c r="W24" s="831"/>
      <c r="X24" s="770"/>
      <c r="Y24" s="824"/>
      <c r="Z24" s="821"/>
      <c r="AA24" s="821">
        <f>AH24</f>
        <v>1122.5</v>
      </c>
      <c r="AB24" s="821">
        <f>(R24+Z24+U24+W24)*T24+AA24</f>
        <v>3350</v>
      </c>
      <c r="AC24" s="825">
        <f t="shared" si="30"/>
        <v>0</v>
      </c>
      <c r="AD24" s="825">
        <f t="shared" si="31"/>
        <v>3350</v>
      </c>
      <c r="AE24" s="826">
        <f t="shared" si="32"/>
        <v>3350</v>
      </c>
      <c r="AF24" s="826">
        <f t="shared" si="33"/>
        <v>0</v>
      </c>
      <c r="AG24" s="827">
        <f>6700*T24</f>
        <v>3350</v>
      </c>
      <c r="AH24" s="826">
        <f>AG24-(R24*T24)</f>
        <v>1122.5</v>
      </c>
      <c r="AI24" s="828">
        <f t="shared" si="19"/>
        <v>0</v>
      </c>
      <c r="AJ24" s="828">
        <f t="shared" si="20"/>
        <v>2227.5</v>
      </c>
      <c r="AK24" s="828">
        <f t="shared" si="21"/>
        <v>0</v>
      </c>
      <c r="AL24" s="828">
        <f t="shared" si="22"/>
        <v>2227.5</v>
      </c>
      <c r="AM24" s="828">
        <f t="shared" si="23"/>
        <v>0</v>
      </c>
      <c r="AN24" s="828">
        <f t="shared" si="23"/>
        <v>0</v>
      </c>
      <c r="AO24" s="830">
        <f t="shared" si="24"/>
        <v>0</v>
      </c>
      <c r="AP24" s="830">
        <f t="shared" si="25"/>
        <v>0</v>
      </c>
      <c r="AQ24" s="830">
        <f t="shared" si="26"/>
        <v>1122.5</v>
      </c>
      <c r="AR24" s="830">
        <f t="shared" si="27"/>
        <v>0</v>
      </c>
      <c r="AS24" s="830">
        <f t="shared" si="28"/>
        <v>0</v>
      </c>
      <c r="AT24" s="835">
        <f t="shared" si="16"/>
        <v>0</v>
      </c>
      <c r="AU24" s="835">
        <f t="shared" si="17"/>
        <v>2227.5</v>
      </c>
      <c r="AV24" s="828"/>
      <c r="AW24" s="944">
        <f t="shared" si="29"/>
        <v>2227.5</v>
      </c>
    </row>
    <row r="25" spans="2:49" s="199" customFormat="1" ht="33">
      <c r="B25" s="770"/>
      <c r="C25" s="819" t="s">
        <v>1488</v>
      </c>
      <c r="D25" s="820" t="s">
        <v>1487</v>
      </c>
      <c r="E25" s="770" t="s">
        <v>1489</v>
      </c>
      <c r="F25" s="770">
        <v>10</v>
      </c>
      <c r="G25" s="821">
        <v>5265</v>
      </c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>
        <f t="shared" si="34"/>
        <v>5265</v>
      </c>
      <c r="S25" s="821"/>
      <c r="T25" s="831">
        <v>0.5</v>
      </c>
      <c r="U25" s="831"/>
      <c r="V25" s="831"/>
      <c r="W25" s="831"/>
      <c r="X25" s="770"/>
      <c r="Y25" s="824"/>
      <c r="Z25" s="821"/>
      <c r="AA25" s="821">
        <f>AH25</f>
        <v>717.5</v>
      </c>
      <c r="AB25" s="821">
        <f>(R25+Z25+U25+W25)*T25+AA25</f>
        <v>3350</v>
      </c>
      <c r="AC25" s="825">
        <f t="shared" si="30"/>
        <v>0</v>
      </c>
      <c r="AD25" s="825">
        <f t="shared" si="31"/>
        <v>3350</v>
      </c>
      <c r="AE25" s="826">
        <f t="shared" si="32"/>
        <v>3350</v>
      </c>
      <c r="AF25" s="826">
        <f t="shared" si="33"/>
        <v>0</v>
      </c>
      <c r="AG25" s="827">
        <f>6700*T25</f>
        <v>3350</v>
      </c>
      <c r="AH25" s="826">
        <f>AG25-(R25*T25)</f>
        <v>717.5</v>
      </c>
      <c r="AI25" s="828">
        <f t="shared" si="19"/>
        <v>0</v>
      </c>
      <c r="AJ25" s="828">
        <f t="shared" si="20"/>
        <v>2632.5</v>
      </c>
      <c r="AK25" s="828">
        <f t="shared" si="21"/>
        <v>0</v>
      </c>
      <c r="AL25" s="828">
        <f t="shared" si="22"/>
        <v>2632.5</v>
      </c>
      <c r="AM25" s="828">
        <f t="shared" si="23"/>
        <v>0</v>
      </c>
      <c r="AN25" s="828">
        <f t="shared" si="23"/>
        <v>0</v>
      </c>
      <c r="AO25" s="830">
        <f t="shared" si="24"/>
        <v>0</v>
      </c>
      <c r="AP25" s="830">
        <f t="shared" si="25"/>
        <v>0</v>
      </c>
      <c r="AQ25" s="830">
        <f t="shared" si="26"/>
        <v>717.5</v>
      </c>
      <c r="AR25" s="830">
        <f t="shared" si="27"/>
        <v>0</v>
      </c>
      <c r="AS25" s="830">
        <f t="shared" si="28"/>
        <v>0</v>
      </c>
      <c r="AT25" s="835">
        <f t="shared" si="16"/>
        <v>0</v>
      </c>
      <c r="AU25" s="835">
        <f t="shared" si="17"/>
        <v>2632.5</v>
      </c>
      <c r="AV25" s="828"/>
      <c r="AW25" s="944">
        <f t="shared" si="29"/>
        <v>2632.5</v>
      </c>
    </row>
    <row r="26" spans="2:49" s="200" customFormat="1" ht="33">
      <c r="B26" s="770"/>
      <c r="C26" s="819" t="s">
        <v>1501</v>
      </c>
      <c r="D26" s="820"/>
      <c r="E26" s="770" t="s">
        <v>1489</v>
      </c>
      <c r="F26" s="770">
        <v>4</v>
      </c>
      <c r="G26" s="821">
        <v>3674</v>
      </c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>
        <f t="shared" si="34"/>
        <v>3674</v>
      </c>
      <c r="S26" s="821">
        <v>1</v>
      </c>
      <c r="T26" s="821"/>
      <c r="U26" s="831"/>
      <c r="V26" s="831"/>
      <c r="W26" s="831"/>
      <c r="X26" s="770"/>
      <c r="Y26" s="824"/>
      <c r="Z26" s="821"/>
      <c r="AA26" s="821">
        <f>AH26</f>
        <v>3026</v>
      </c>
      <c r="AB26" s="821">
        <f>(R26+AA26)*S26</f>
        <v>6700</v>
      </c>
      <c r="AC26" s="825">
        <f t="shared" si="30"/>
        <v>0</v>
      </c>
      <c r="AD26" s="825">
        <f t="shared" si="31"/>
        <v>6700</v>
      </c>
      <c r="AE26" s="826">
        <f t="shared" si="32"/>
        <v>6700</v>
      </c>
      <c r="AF26" s="826">
        <f t="shared" si="33"/>
        <v>0</v>
      </c>
      <c r="AG26" s="827">
        <f>6700*S26</f>
        <v>6700</v>
      </c>
      <c r="AH26" s="826">
        <f>AG26-(R26*S26)</f>
        <v>3026</v>
      </c>
      <c r="AI26" s="828">
        <f t="shared" si="19"/>
        <v>3674</v>
      </c>
      <c r="AJ26" s="828">
        <f t="shared" si="20"/>
        <v>0</v>
      </c>
      <c r="AK26" s="828">
        <f t="shared" si="21"/>
        <v>3674</v>
      </c>
      <c r="AL26" s="828">
        <f t="shared" si="22"/>
        <v>0</v>
      </c>
      <c r="AM26" s="828">
        <f t="shared" si="23"/>
        <v>0</v>
      </c>
      <c r="AN26" s="828">
        <f t="shared" si="23"/>
        <v>0</v>
      </c>
      <c r="AO26" s="830">
        <f t="shared" si="24"/>
        <v>0</v>
      </c>
      <c r="AP26" s="830">
        <f t="shared" si="25"/>
        <v>0</v>
      </c>
      <c r="AQ26" s="830">
        <f t="shared" si="26"/>
        <v>3026</v>
      </c>
      <c r="AR26" s="830">
        <f t="shared" si="27"/>
        <v>0</v>
      </c>
      <c r="AS26" s="830">
        <f t="shared" si="28"/>
        <v>0</v>
      </c>
      <c r="AT26" s="835">
        <f t="shared" si="16"/>
        <v>3674</v>
      </c>
      <c r="AU26" s="835">
        <f t="shared" si="17"/>
        <v>0</v>
      </c>
      <c r="AV26" s="828"/>
      <c r="AW26" s="944">
        <f t="shared" si="29"/>
        <v>3674</v>
      </c>
    </row>
    <row r="27" spans="2:49" s="200" customFormat="1" ht="31.5">
      <c r="B27" s="770"/>
      <c r="C27" s="799" t="s">
        <v>504</v>
      </c>
      <c r="D27" s="820"/>
      <c r="E27" s="770"/>
      <c r="F27" s="770"/>
      <c r="G27" s="836">
        <f>SUM(G20:G26)</f>
        <v>43544.4925</v>
      </c>
      <c r="H27" s="836"/>
      <c r="I27" s="836"/>
      <c r="J27" s="836"/>
      <c r="K27" s="836"/>
      <c r="L27" s="836"/>
      <c r="M27" s="836"/>
      <c r="N27" s="836">
        <f t="shared" ref="N27:AW27" si="35">SUM(N20:N26)</f>
        <v>3142.573875</v>
      </c>
      <c r="O27" s="836"/>
      <c r="P27" s="836"/>
      <c r="Q27" s="836"/>
      <c r="R27" s="836">
        <f t="shared" si="35"/>
        <v>46687.070375000003</v>
      </c>
      <c r="S27" s="836">
        <f t="shared" si="35"/>
        <v>5</v>
      </c>
      <c r="T27" s="836">
        <f t="shared" si="35"/>
        <v>1</v>
      </c>
      <c r="U27" s="836"/>
      <c r="V27" s="836"/>
      <c r="W27" s="836"/>
      <c r="X27" s="836"/>
      <c r="Y27" s="836"/>
      <c r="Z27" s="836"/>
      <c r="AA27" s="836">
        <f t="shared" si="35"/>
        <v>9066</v>
      </c>
      <c r="AB27" s="836">
        <f t="shared" si="35"/>
        <v>50893.070375000003</v>
      </c>
      <c r="AC27" s="836">
        <f t="shared" si="35"/>
        <v>0</v>
      </c>
      <c r="AD27" s="836">
        <f t="shared" si="35"/>
        <v>50893.070375000003</v>
      </c>
      <c r="AE27" s="836">
        <f t="shared" si="35"/>
        <v>50893.070375000003</v>
      </c>
      <c r="AF27" s="836">
        <f t="shared" si="35"/>
        <v>0</v>
      </c>
      <c r="AG27" s="836">
        <f t="shared" si="35"/>
        <v>40200</v>
      </c>
      <c r="AH27" s="836">
        <f t="shared" si="35"/>
        <v>9066</v>
      </c>
      <c r="AI27" s="836">
        <f t="shared" si="35"/>
        <v>33824.4925</v>
      </c>
      <c r="AJ27" s="836">
        <f t="shared" si="35"/>
        <v>4860</v>
      </c>
      <c r="AK27" s="836">
        <f t="shared" si="35"/>
        <v>36967.070375000003</v>
      </c>
      <c r="AL27" s="836">
        <f t="shared" si="35"/>
        <v>4860</v>
      </c>
      <c r="AM27" s="836">
        <f t="shared" si="35"/>
        <v>3142.5778750000009</v>
      </c>
      <c r="AN27" s="836">
        <f t="shared" si="35"/>
        <v>0</v>
      </c>
      <c r="AO27" s="836">
        <f t="shared" si="35"/>
        <v>0</v>
      </c>
      <c r="AP27" s="836">
        <f t="shared" si="35"/>
        <v>0</v>
      </c>
      <c r="AQ27" s="836">
        <f t="shared" si="35"/>
        <v>9066</v>
      </c>
      <c r="AR27" s="836">
        <f t="shared" si="35"/>
        <v>0</v>
      </c>
      <c r="AS27" s="836">
        <f t="shared" si="35"/>
        <v>0</v>
      </c>
      <c r="AT27" s="836">
        <f t="shared" si="35"/>
        <v>36967.070375000003</v>
      </c>
      <c r="AU27" s="836">
        <f t="shared" si="35"/>
        <v>4860</v>
      </c>
      <c r="AV27" s="836">
        <f t="shared" si="35"/>
        <v>0</v>
      </c>
      <c r="AW27" s="836">
        <f t="shared" si="35"/>
        <v>41827.070375000003</v>
      </c>
    </row>
    <row r="28" spans="2:49" s="196" customFormat="1" ht="33">
      <c r="B28" s="770"/>
      <c r="C28" s="810" t="s">
        <v>1439</v>
      </c>
      <c r="D28" s="811"/>
      <c r="E28" s="812"/>
      <c r="F28" s="812"/>
      <c r="G28" s="812"/>
      <c r="H28" s="813"/>
      <c r="I28" s="812"/>
      <c r="J28" s="813"/>
      <c r="K28" s="812"/>
      <c r="L28" s="812"/>
      <c r="M28" s="813"/>
      <c r="N28" s="812"/>
      <c r="O28" s="813"/>
      <c r="P28" s="812"/>
      <c r="Q28" s="812"/>
      <c r="R28" s="812"/>
      <c r="S28" s="812"/>
      <c r="T28" s="812"/>
      <c r="U28" s="812"/>
      <c r="V28" s="812"/>
      <c r="W28" s="812"/>
      <c r="X28" s="812"/>
      <c r="Y28" s="812"/>
      <c r="Z28" s="812"/>
      <c r="AA28" s="812"/>
      <c r="AB28" s="812"/>
      <c r="AC28" s="834"/>
      <c r="AD28" s="834"/>
      <c r="AE28" s="815"/>
      <c r="AF28" s="815"/>
      <c r="AG28" s="816"/>
      <c r="AH28" s="815"/>
      <c r="AI28" s="828"/>
      <c r="AJ28" s="828"/>
      <c r="AK28" s="828"/>
      <c r="AL28" s="828"/>
      <c r="AM28" s="828"/>
      <c r="AN28" s="828"/>
      <c r="AO28" s="830"/>
      <c r="AP28" s="830"/>
      <c r="AQ28" s="830"/>
      <c r="AR28" s="830"/>
      <c r="AS28" s="830"/>
      <c r="AT28" s="835"/>
      <c r="AU28" s="835"/>
      <c r="AV28" s="828"/>
      <c r="AW28" s="944"/>
    </row>
    <row r="29" spans="2:49" s="200" customFormat="1" ht="33">
      <c r="B29" s="770"/>
      <c r="C29" s="837" t="s">
        <v>1494</v>
      </c>
      <c r="D29" s="820"/>
      <c r="E29" s="831" t="s">
        <v>1688</v>
      </c>
      <c r="F29" s="770">
        <v>7</v>
      </c>
      <c r="G29" s="821">
        <v>4455</v>
      </c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>
        <f>G29+I29+K29+L29+N29+P29+Q29</f>
        <v>4455</v>
      </c>
      <c r="S29" s="821">
        <v>1</v>
      </c>
      <c r="T29" s="831"/>
      <c r="U29" s="831"/>
      <c r="V29" s="831"/>
      <c r="W29" s="831"/>
      <c r="X29" s="770"/>
      <c r="Y29" s="824"/>
      <c r="Z29" s="821"/>
      <c r="AA29" s="821">
        <f>AH29</f>
        <v>2245</v>
      </c>
      <c r="AB29" s="821">
        <f>(R29+AA29)*S29</f>
        <v>6700</v>
      </c>
      <c r="AC29" s="825">
        <f>AF29</f>
        <v>0</v>
      </c>
      <c r="AD29" s="825">
        <f>AB29+AC29</f>
        <v>6700</v>
      </c>
      <c r="AE29" s="826">
        <f>AB29</f>
        <v>6700</v>
      </c>
      <c r="AF29" s="826">
        <f>AE29-AB29</f>
        <v>0</v>
      </c>
      <c r="AG29" s="827">
        <f>6700*S29</f>
        <v>6700</v>
      </c>
      <c r="AH29" s="826">
        <f>AG29-(R29*S29)</f>
        <v>2245</v>
      </c>
      <c r="AI29" s="828">
        <f>G29*S29</f>
        <v>4455</v>
      </c>
      <c r="AJ29" s="828">
        <f>G29*T29</f>
        <v>0</v>
      </c>
      <c r="AK29" s="828">
        <f>R29*S29</f>
        <v>4455</v>
      </c>
      <c r="AL29" s="828">
        <f>R29*T29</f>
        <v>0</v>
      </c>
      <c r="AM29" s="828">
        <f t="shared" ref="AM29:AN31" si="36">AK29-AI29</f>
        <v>0</v>
      </c>
      <c r="AN29" s="828">
        <f t="shared" si="36"/>
        <v>0</v>
      </c>
      <c r="AO29" s="830">
        <f>Z29*S29</f>
        <v>0</v>
      </c>
      <c r="AP29" s="830">
        <f>Z29*T29</f>
        <v>0</v>
      </c>
      <c r="AQ29" s="830">
        <f>AA29</f>
        <v>2245</v>
      </c>
      <c r="AR29" s="830">
        <f>W29*S29</f>
        <v>0</v>
      </c>
      <c r="AS29" s="830">
        <f>W29*T29</f>
        <v>0</v>
      </c>
      <c r="AT29" s="835">
        <f t="shared" si="16"/>
        <v>4455</v>
      </c>
      <c r="AU29" s="835">
        <f t="shared" si="17"/>
        <v>0</v>
      </c>
      <c r="AV29" s="828"/>
      <c r="AW29" s="944">
        <f>AT29+AU29-AV29</f>
        <v>4455</v>
      </c>
    </row>
    <row r="30" spans="2:49" s="196" customFormat="1" ht="58.5">
      <c r="B30" s="770"/>
      <c r="C30" s="819" t="s">
        <v>1440</v>
      </c>
      <c r="D30" s="838" t="s">
        <v>1442</v>
      </c>
      <c r="E30" s="831" t="s">
        <v>1443</v>
      </c>
      <c r="F30" s="770">
        <v>8</v>
      </c>
      <c r="G30" s="821">
        <v>4745</v>
      </c>
      <c r="H30" s="821"/>
      <c r="I30" s="821"/>
      <c r="J30" s="821"/>
      <c r="K30" s="821"/>
      <c r="L30" s="821"/>
      <c r="M30" s="821"/>
      <c r="N30" s="821"/>
      <c r="O30" s="821"/>
      <c r="P30" s="831"/>
      <c r="Q30" s="831"/>
      <c r="R30" s="821">
        <f>G30+I30+K30+L30+N30+P30+Q30</f>
        <v>4745</v>
      </c>
      <c r="S30" s="821">
        <v>0.5</v>
      </c>
      <c r="T30" s="821"/>
      <c r="U30" s="831"/>
      <c r="V30" s="831"/>
      <c r="W30" s="831"/>
      <c r="X30" s="770">
        <v>14</v>
      </c>
      <c r="Y30" s="824">
        <v>0.2</v>
      </c>
      <c r="Z30" s="821">
        <f>R30*Y30</f>
        <v>949</v>
      </c>
      <c r="AA30" s="821">
        <f>AH30</f>
        <v>503</v>
      </c>
      <c r="AB30" s="821">
        <f>(R30+Z30)*S30+AA30</f>
        <v>3350</v>
      </c>
      <c r="AC30" s="825">
        <f>AF30</f>
        <v>3400</v>
      </c>
      <c r="AD30" s="825">
        <f>AB30+AC30</f>
        <v>6750</v>
      </c>
      <c r="AE30" s="826">
        <f>13500*S30</f>
        <v>6750</v>
      </c>
      <c r="AF30" s="826">
        <f>AE30-AB30</f>
        <v>3400</v>
      </c>
      <c r="AG30" s="827">
        <f>6700*S30</f>
        <v>3350</v>
      </c>
      <c r="AH30" s="826">
        <f>3350-2847</f>
        <v>503</v>
      </c>
      <c r="AI30" s="828">
        <f>G30*S30</f>
        <v>2372.5</v>
      </c>
      <c r="AJ30" s="828">
        <f>G30*T30</f>
        <v>0</v>
      </c>
      <c r="AK30" s="828">
        <f>R30*S30</f>
        <v>2372.5</v>
      </c>
      <c r="AL30" s="828">
        <f>R30*T30</f>
        <v>0</v>
      </c>
      <c r="AM30" s="828">
        <f t="shared" si="36"/>
        <v>0</v>
      </c>
      <c r="AN30" s="828">
        <f t="shared" si="36"/>
        <v>0</v>
      </c>
      <c r="AO30" s="830">
        <f>Z30*S30</f>
        <v>474.5</v>
      </c>
      <c r="AP30" s="830">
        <f>Z30*T30</f>
        <v>0</v>
      </c>
      <c r="AQ30" s="830">
        <f>AA30</f>
        <v>503</v>
      </c>
      <c r="AR30" s="830">
        <f>W30*S30</f>
        <v>0</v>
      </c>
      <c r="AS30" s="830">
        <f>W30*T30</f>
        <v>0</v>
      </c>
      <c r="AT30" s="835">
        <f t="shared" si="16"/>
        <v>2372.5</v>
      </c>
      <c r="AU30" s="835">
        <f t="shared" si="17"/>
        <v>0</v>
      </c>
      <c r="AV30" s="828"/>
      <c r="AW30" s="944">
        <f>AT30+AU30-AV30</f>
        <v>2372.5</v>
      </c>
    </row>
    <row r="31" spans="2:49" s="196" customFormat="1" ht="33">
      <c r="B31" s="770"/>
      <c r="C31" s="819" t="s">
        <v>1478</v>
      </c>
      <c r="D31" s="838"/>
      <c r="E31" s="770" t="s">
        <v>1479</v>
      </c>
      <c r="F31" s="831">
        <v>5</v>
      </c>
      <c r="G31" s="821">
        <v>3934</v>
      </c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>
        <f>G31+I31+K31+L31+N31+P31+Q31</f>
        <v>3934</v>
      </c>
      <c r="S31" s="821">
        <v>1</v>
      </c>
      <c r="T31" s="821"/>
      <c r="U31" s="821"/>
      <c r="V31" s="821"/>
      <c r="W31" s="821"/>
      <c r="X31" s="770"/>
      <c r="Y31" s="824"/>
      <c r="Z31" s="821"/>
      <c r="AA31" s="821">
        <f>AH31</f>
        <v>2766</v>
      </c>
      <c r="AB31" s="821">
        <f>(R31+Z31+U31+W31)*S31+AA31</f>
        <v>6700</v>
      </c>
      <c r="AC31" s="825">
        <f>AF45</f>
        <v>0</v>
      </c>
      <c r="AD31" s="825">
        <f>AB31+AC31</f>
        <v>6700</v>
      </c>
      <c r="AE31" s="826">
        <f>AB31</f>
        <v>6700</v>
      </c>
      <c r="AF31" s="826">
        <f>AE31-AB31</f>
        <v>0</v>
      </c>
      <c r="AG31" s="827">
        <f>6700*S31</f>
        <v>6700</v>
      </c>
      <c r="AH31" s="826">
        <f>AG31-(R31*S31)</f>
        <v>2766</v>
      </c>
      <c r="AI31" s="828">
        <f>G31*S31</f>
        <v>3934</v>
      </c>
      <c r="AJ31" s="828">
        <f>G31*T31</f>
        <v>0</v>
      </c>
      <c r="AK31" s="828">
        <f>R31*S31</f>
        <v>3934</v>
      </c>
      <c r="AL31" s="828">
        <f>R31*T31</f>
        <v>0</v>
      </c>
      <c r="AM31" s="828">
        <f t="shared" si="36"/>
        <v>0</v>
      </c>
      <c r="AN31" s="828">
        <f t="shared" si="36"/>
        <v>0</v>
      </c>
      <c r="AO31" s="830">
        <f>Z31*S31</f>
        <v>0</v>
      </c>
      <c r="AP31" s="830">
        <f>Z31*T31</f>
        <v>0</v>
      </c>
      <c r="AQ31" s="830">
        <f>AA31</f>
        <v>2766</v>
      </c>
      <c r="AR31" s="830">
        <f>W31*S31</f>
        <v>0</v>
      </c>
      <c r="AS31" s="830">
        <f>W31*T31</f>
        <v>0</v>
      </c>
      <c r="AT31" s="835">
        <f t="shared" si="16"/>
        <v>3934</v>
      </c>
      <c r="AU31" s="835">
        <f t="shared" si="17"/>
        <v>0</v>
      </c>
      <c r="AV31" s="828"/>
      <c r="AW31" s="944">
        <f>AT31+AU31-AV31</f>
        <v>3934</v>
      </c>
    </row>
    <row r="32" spans="2:49" s="196" customFormat="1" ht="31.5">
      <c r="B32" s="770"/>
      <c r="C32" s="799" t="s">
        <v>504</v>
      </c>
      <c r="D32" s="832"/>
      <c r="E32" s="812"/>
      <c r="F32" s="812"/>
      <c r="G32" s="802">
        <f>SUM(G29:G31)</f>
        <v>13134</v>
      </c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>
        <f>SUM(R29:R31)</f>
        <v>13134</v>
      </c>
      <c r="S32" s="802">
        <f>SUM(S29:S31)</f>
        <v>2.5</v>
      </c>
      <c r="T32" s="802">
        <f>SUM(T29:T31)</f>
        <v>0</v>
      </c>
      <c r="U32" s="802"/>
      <c r="V32" s="802"/>
      <c r="W32" s="802"/>
      <c r="X32" s="802"/>
      <c r="Y32" s="802"/>
      <c r="Z32" s="802">
        <f t="shared" ref="Z32:AW32" si="37">SUM(Z29:Z31)</f>
        <v>949</v>
      </c>
      <c r="AA32" s="802">
        <f t="shared" si="37"/>
        <v>5514</v>
      </c>
      <c r="AB32" s="802">
        <f t="shared" si="37"/>
        <v>16750</v>
      </c>
      <c r="AC32" s="802">
        <f t="shared" si="37"/>
        <v>3400</v>
      </c>
      <c r="AD32" s="802">
        <f t="shared" si="37"/>
        <v>20150</v>
      </c>
      <c r="AE32" s="802">
        <f t="shared" si="37"/>
        <v>20150</v>
      </c>
      <c r="AF32" s="802">
        <f t="shared" si="37"/>
        <v>3400</v>
      </c>
      <c r="AG32" s="802">
        <f t="shared" si="37"/>
        <v>16750</v>
      </c>
      <c r="AH32" s="802">
        <f t="shared" si="37"/>
        <v>5514</v>
      </c>
      <c r="AI32" s="802">
        <f t="shared" si="37"/>
        <v>10761.5</v>
      </c>
      <c r="AJ32" s="802">
        <f t="shared" si="37"/>
        <v>0</v>
      </c>
      <c r="AK32" s="802">
        <f t="shared" si="37"/>
        <v>10761.5</v>
      </c>
      <c r="AL32" s="802">
        <f t="shared" si="37"/>
        <v>0</v>
      </c>
      <c r="AM32" s="802">
        <f t="shared" si="37"/>
        <v>0</v>
      </c>
      <c r="AN32" s="802">
        <f t="shared" si="37"/>
        <v>0</v>
      </c>
      <c r="AO32" s="802">
        <f t="shared" si="37"/>
        <v>474.5</v>
      </c>
      <c r="AP32" s="802">
        <f t="shared" si="37"/>
        <v>0</v>
      </c>
      <c r="AQ32" s="802">
        <f t="shared" si="37"/>
        <v>5514</v>
      </c>
      <c r="AR32" s="802">
        <f t="shared" si="37"/>
        <v>0</v>
      </c>
      <c r="AS32" s="802">
        <f t="shared" si="37"/>
        <v>0</v>
      </c>
      <c r="AT32" s="802">
        <f t="shared" si="37"/>
        <v>10761.5</v>
      </c>
      <c r="AU32" s="802">
        <f t="shared" si="37"/>
        <v>0</v>
      </c>
      <c r="AV32" s="802">
        <f t="shared" si="37"/>
        <v>0</v>
      </c>
      <c r="AW32" s="802">
        <f t="shared" si="37"/>
        <v>10761.5</v>
      </c>
    </row>
    <row r="33" spans="2:49" s="196" customFormat="1" ht="61.5">
      <c r="B33" s="770"/>
      <c r="C33" s="810" t="s">
        <v>813</v>
      </c>
      <c r="D33" s="832"/>
      <c r="E33" s="812"/>
      <c r="F33" s="81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2"/>
      <c r="X33" s="802"/>
      <c r="Y33" s="802"/>
      <c r="Z33" s="802"/>
      <c r="AA33" s="802"/>
      <c r="AB33" s="802"/>
      <c r="AC33" s="833"/>
      <c r="AD33" s="833"/>
      <c r="AE33" s="833"/>
      <c r="AF33" s="833"/>
      <c r="AG33" s="833"/>
      <c r="AH33" s="833"/>
      <c r="AI33" s="833"/>
      <c r="AJ33" s="833"/>
      <c r="AK33" s="833"/>
      <c r="AL33" s="833"/>
      <c r="AM33" s="833"/>
      <c r="AN33" s="833"/>
      <c r="AO33" s="833"/>
      <c r="AP33" s="833"/>
      <c r="AQ33" s="833"/>
      <c r="AR33" s="833"/>
      <c r="AS33" s="833"/>
      <c r="AT33" s="835"/>
      <c r="AU33" s="835"/>
      <c r="AV33" s="833"/>
      <c r="AW33" s="868"/>
    </row>
    <row r="34" spans="2:49" s="200" customFormat="1" ht="33">
      <c r="B34" s="770"/>
      <c r="C34" s="819" t="s">
        <v>1504</v>
      </c>
      <c r="D34" s="820"/>
      <c r="E34" s="770" t="s">
        <v>1689</v>
      </c>
      <c r="F34" s="770">
        <v>7</v>
      </c>
      <c r="G34" s="821">
        <v>4455</v>
      </c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>
        <f t="shared" ref="R34:R39" si="38">G34+I34+K34+L34+N34+P34+Q34</f>
        <v>4455</v>
      </c>
      <c r="S34" s="821">
        <v>1</v>
      </c>
      <c r="T34" s="831"/>
      <c r="U34" s="831"/>
      <c r="V34" s="831"/>
      <c r="W34" s="831"/>
      <c r="X34" s="770"/>
      <c r="Y34" s="824"/>
      <c r="Z34" s="821"/>
      <c r="AA34" s="821">
        <f t="shared" ref="AA34:AA39" si="39">AH34</f>
        <v>2245</v>
      </c>
      <c r="AB34" s="821">
        <f>(R34+AA34)*S34</f>
        <v>6700</v>
      </c>
      <c r="AC34" s="825">
        <f t="shared" ref="AC34:AC39" si="40">AF34</f>
        <v>0</v>
      </c>
      <c r="AD34" s="825">
        <f t="shared" ref="AD34:AD39" si="41">AB34+AC34</f>
        <v>6700</v>
      </c>
      <c r="AE34" s="826">
        <f t="shared" ref="AE34:AE39" si="42">AB34</f>
        <v>6700</v>
      </c>
      <c r="AF34" s="826">
        <f t="shared" ref="AF34:AF39" si="43">AE34-AB34</f>
        <v>0</v>
      </c>
      <c r="AG34" s="827">
        <f>6700*S34</f>
        <v>6700</v>
      </c>
      <c r="AH34" s="826">
        <f>AG34-(R34*S34)</f>
        <v>2245</v>
      </c>
      <c r="AI34" s="828">
        <f t="shared" ref="AI34:AI39" si="44">G34*S34</f>
        <v>4455</v>
      </c>
      <c r="AJ34" s="828">
        <f t="shared" ref="AJ34:AJ39" si="45">G34*T34</f>
        <v>0</v>
      </c>
      <c r="AK34" s="828">
        <f t="shared" ref="AK34:AK39" si="46">R34*S34</f>
        <v>4455</v>
      </c>
      <c r="AL34" s="828">
        <f t="shared" ref="AL34:AL39" si="47">R34*T34</f>
        <v>0</v>
      </c>
      <c r="AM34" s="828">
        <f t="shared" ref="AM34:AN39" si="48">AK34-AI34</f>
        <v>0</v>
      </c>
      <c r="AN34" s="828">
        <f t="shared" si="48"/>
        <v>0</v>
      </c>
      <c r="AO34" s="830">
        <f t="shared" ref="AO34:AO39" si="49">Z34*S34</f>
        <v>0</v>
      </c>
      <c r="AP34" s="830">
        <f t="shared" ref="AP34:AP39" si="50">Z34*T34</f>
        <v>0</v>
      </c>
      <c r="AQ34" s="830">
        <f t="shared" ref="AQ34:AQ39" si="51">AA34</f>
        <v>2245</v>
      </c>
      <c r="AR34" s="830">
        <f t="shared" ref="AR34:AR39" si="52">W34*S34</f>
        <v>0</v>
      </c>
      <c r="AS34" s="830">
        <f t="shared" ref="AS34:AS39" si="53">W34*T34</f>
        <v>0</v>
      </c>
      <c r="AT34" s="835">
        <f t="shared" si="16"/>
        <v>4455</v>
      </c>
      <c r="AU34" s="835">
        <f t="shared" si="17"/>
        <v>0</v>
      </c>
      <c r="AV34" s="828"/>
      <c r="AW34" s="944">
        <f t="shared" ref="AW34:AW39" si="54">AT34+AU34-AV34</f>
        <v>4455</v>
      </c>
    </row>
    <row r="35" spans="2:49" s="200" customFormat="1" ht="33">
      <c r="B35" s="770"/>
      <c r="C35" s="819" t="s">
        <v>1506</v>
      </c>
      <c r="D35" s="820" t="s">
        <v>1507</v>
      </c>
      <c r="E35" s="770" t="s">
        <v>1508</v>
      </c>
      <c r="F35" s="770">
        <v>10</v>
      </c>
      <c r="G35" s="821">
        <v>5265</v>
      </c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821">
        <f t="shared" si="38"/>
        <v>5265</v>
      </c>
      <c r="S35" s="821">
        <v>1</v>
      </c>
      <c r="T35" s="831"/>
      <c r="U35" s="831"/>
      <c r="V35" s="831"/>
      <c r="W35" s="831"/>
      <c r="X35" s="770"/>
      <c r="Y35" s="824"/>
      <c r="Z35" s="821"/>
      <c r="AA35" s="821">
        <f t="shared" si="39"/>
        <v>1435</v>
      </c>
      <c r="AB35" s="821">
        <f>(R35+Z35+U35+W35)*S35+AA35</f>
        <v>6700</v>
      </c>
      <c r="AC35" s="825">
        <f t="shared" si="40"/>
        <v>0</v>
      </c>
      <c r="AD35" s="825">
        <f t="shared" si="41"/>
        <v>6700</v>
      </c>
      <c r="AE35" s="826">
        <f t="shared" si="42"/>
        <v>6700</v>
      </c>
      <c r="AF35" s="826">
        <f t="shared" si="43"/>
        <v>0</v>
      </c>
      <c r="AG35" s="827">
        <f>6700*S35</f>
        <v>6700</v>
      </c>
      <c r="AH35" s="826">
        <f>AG35-(R35*S35)</f>
        <v>1435</v>
      </c>
      <c r="AI35" s="828">
        <f t="shared" si="44"/>
        <v>5265</v>
      </c>
      <c r="AJ35" s="828">
        <f t="shared" si="45"/>
        <v>0</v>
      </c>
      <c r="AK35" s="828">
        <f t="shared" si="46"/>
        <v>5265</v>
      </c>
      <c r="AL35" s="828">
        <f t="shared" si="47"/>
        <v>0</v>
      </c>
      <c r="AM35" s="828">
        <f t="shared" si="48"/>
        <v>0</v>
      </c>
      <c r="AN35" s="828">
        <f t="shared" si="48"/>
        <v>0</v>
      </c>
      <c r="AO35" s="830">
        <f t="shared" si="49"/>
        <v>0</v>
      </c>
      <c r="AP35" s="830">
        <f t="shared" si="50"/>
        <v>0</v>
      </c>
      <c r="AQ35" s="830">
        <f t="shared" si="51"/>
        <v>1435</v>
      </c>
      <c r="AR35" s="830">
        <f t="shared" si="52"/>
        <v>0</v>
      </c>
      <c r="AS35" s="830">
        <f t="shared" si="53"/>
        <v>0</v>
      </c>
      <c r="AT35" s="835">
        <f t="shared" si="16"/>
        <v>5265</v>
      </c>
      <c r="AU35" s="835">
        <f t="shared" si="17"/>
        <v>0</v>
      </c>
      <c r="AV35" s="828"/>
      <c r="AW35" s="944">
        <f t="shared" si="54"/>
        <v>5265</v>
      </c>
    </row>
    <row r="36" spans="2:49" s="200" customFormat="1" ht="33">
      <c r="B36" s="770"/>
      <c r="C36" s="819" t="s">
        <v>1744</v>
      </c>
      <c r="D36" s="820"/>
      <c r="E36" s="770" t="s">
        <v>600</v>
      </c>
      <c r="F36" s="770">
        <v>7</v>
      </c>
      <c r="G36" s="821">
        <v>4455</v>
      </c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>
        <f t="shared" si="38"/>
        <v>4455</v>
      </c>
      <c r="S36" s="821">
        <v>1</v>
      </c>
      <c r="T36" s="821"/>
      <c r="U36" s="831"/>
      <c r="V36" s="831"/>
      <c r="W36" s="831"/>
      <c r="X36" s="770"/>
      <c r="Y36" s="824"/>
      <c r="Z36" s="821"/>
      <c r="AA36" s="821">
        <f t="shared" si="39"/>
        <v>2245</v>
      </c>
      <c r="AB36" s="821">
        <f>(R36+AA36)*S36</f>
        <v>6700</v>
      </c>
      <c r="AC36" s="825">
        <f t="shared" si="40"/>
        <v>0</v>
      </c>
      <c r="AD36" s="825">
        <f t="shared" si="41"/>
        <v>6700</v>
      </c>
      <c r="AE36" s="826">
        <f t="shared" si="42"/>
        <v>6700</v>
      </c>
      <c r="AF36" s="826">
        <f t="shared" si="43"/>
        <v>0</v>
      </c>
      <c r="AG36" s="827">
        <f>6700*S36</f>
        <v>6700</v>
      </c>
      <c r="AH36" s="826">
        <f>AG36-(R36*S36)</f>
        <v>2245</v>
      </c>
      <c r="AI36" s="828">
        <f t="shared" si="44"/>
        <v>4455</v>
      </c>
      <c r="AJ36" s="828">
        <f t="shared" si="45"/>
        <v>0</v>
      </c>
      <c r="AK36" s="828">
        <f t="shared" si="46"/>
        <v>4455</v>
      </c>
      <c r="AL36" s="828">
        <f t="shared" si="47"/>
        <v>0</v>
      </c>
      <c r="AM36" s="828">
        <f t="shared" si="48"/>
        <v>0</v>
      </c>
      <c r="AN36" s="828">
        <f t="shared" si="48"/>
        <v>0</v>
      </c>
      <c r="AO36" s="830">
        <f t="shared" si="49"/>
        <v>0</v>
      </c>
      <c r="AP36" s="830">
        <f t="shared" si="50"/>
        <v>0</v>
      </c>
      <c r="AQ36" s="830">
        <f t="shared" si="51"/>
        <v>2245</v>
      </c>
      <c r="AR36" s="830">
        <f t="shared" si="52"/>
        <v>0</v>
      </c>
      <c r="AS36" s="830">
        <f t="shared" si="53"/>
        <v>0</v>
      </c>
      <c r="AT36" s="835">
        <f t="shared" si="16"/>
        <v>4455</v>
      </c>
      <c r="AU36" s="835">
        <f t="shared" si="17"/>
        <v>0</v>
      </c>
      <c r="AV36" s="828"/>
      <c r="AW36" s="944">
        <f t="shared" si="54"/>
        <v>4455</v>
      </c>
    </row>
    <row r="37" spans="2:49" s="198" customFormat="1" ht="33">
      <c r="B37" s="770"/>
      <c r="C37" s="819" t="s">
        <v>1509</v>
      </c>
      <c r="D37" s="820"/>
      <c r="E37" s="770" t="s">
        <v>601</v>
      </c>
      <c r="F37" s="770">
        <v>7</v>
      </c>
      <c r="G37" s="821">
        <v>4455</v>
      </c>
      <c r="H37" s="821"/>
      <c r="I37" s="821"/>
      <c r="J37" s="821"/>
      <c r="K37" s="821"/>
      <c r="L37" s="821"/>
      <c r="M37" s="821"/>
      <c r="N37" s="821"/>
      <c r="O37" s="821"/>
      <c r="P37" s="821"/>
      <c r="Q37" s="821"/>
      <c r="R37" s="821">
        <f t="shared" si="38"/>
        <v>4455</v>
      </c>
      <c r="S37" s="821">
        <v>1</v>
      </c>
      <c r="T37" s="821"/>
      <c r="U37" s="831"/>
      <c r="V37" s="831"/>
      <c r="W37" s="831"/>
      <c r="X37" s="770"/>
      <c r="Y37" s="824"/>
      <c r="Z37" s="821"/>
      <c r="AA37" s="821">
        <f t="shared" si="39"/>
        <v>2245</v>
      </c>
      <c r="AB37" s="821">
        <f>(R37+AA37)*S37</f>
        <v>6700</v>
      </c>
      <c r="AC37" s="825">
        <f t="shared" si="40"/>
        <v>0</v>
      </c>
      <c r="AD37" s="825">
        <f t="shared" si="41"/>
        <v>6700</v>
      </c>
      <c r="AE37" s="826">
        <f t="shared" si="42"/>
        <v>6700</v>
      </c>
      <c r="AF37" s="826">
        <f t="shared" si="43"/>
        <v>0</v>
      </c>
      <c r="AG37" s="827">
        <f>6700*S37</f>
        <v>6700</v>
      </c>
      <c r="AH37" s="826">
        <f>AG37-(R37*S37)</f>
        <v>2245</v>
      </c>
      <c r="AI37" s="828">
        <f t="shared" si="44"/>
        <v>4455</v>
      </c>
      <c r="AJ37" s="828">
        <f t="shared" si="45"/>
        <v>0</v>
      </c>
      <c r="AK37" s="828">
        <f t="shared" si="46"/>
        <v>4455</v>
      </c>
      <c r="AL37" s="828">
        <f t="shared" si="47"/>
        <v>0</v>
      </c>
      <c r="AM37" s="828">
        <f t="shared" si="48"/>
        <v>0</v>
      </c>
      <c r="AN37" s="828">
        <f t="shared" si="48"/>
        <v>0</v>
      </c>
      <c r="AO37" s="830">
        <f t="shared" si="49"/>
        <v>0</v>
      </c>
      <c r="AP37" s="830">
        <f t="shared" si="50"/>
        <v>0</v>
      </c>
      <c r="AQ37" s="830">
        <f t="shared" si="51"/>
        <v>2245</v>
      </c>
      <c r="AR37" s="830">
        <f t="shared" si="52"/>
        <v>0</v>
      </c>
      <c r="AS37" s="830">
        <f t="shared" si="53"/>
        <v>0</v>
      </c>
      <c r="AT37" s="835">
        <f t="shared" si="16"/>
        <v>4455</v>
      </c>
      <c r="AU37" s="835">
        <f t="shared" si="17"/>
        <v>0</v>
      </c>
      <c r="AV37" s="828"/>
      <c r="AW37" s="944">
        <f t="shared" si="54"/>
        <v>4455</v>
      </c>
    </row>
    <row r="38" spans="2:49" s="200" customFormat="1" ht="33">
      <c r="B38" s="770"/>
      <c r="C38" s="819" t="s">
        <v>1690</v>
      </c>
      <c r="D38" s="820"/>
      <c r="E38" s="770" t="s">
        <v>1443</v>
      </c>
      <c r="F38" s="770">
        <v>10</v>
      </c>
      <c r="G38" s="821">
        <v>5265</v>
      </c>
      <c r="H38" s="821"/>
      <c r="I38" s="821"/>
      <c r="J38" s="821"/>
      <c r="K38" s="821"/>
      <c r="L38" s="821"/>
      <c r="M38" s="821"/>
      <c r="N38" s="821"/>
      <c r="O38" s="821"/>
      <c r="P38" s="821"/>
      <c r="Q38" s="821"/>
      <c r="R38" s="821">
        <f t="shared" si="38"/>
        <v>5265</v>
      </c>
      <c r="S38" s="821"/>
      <c r="T38" s="821">
        <v>0.5</v>
      </c>
      <c r="U38" s="831"/>
      <c r="V38" s="831"/>
      <c r="W38" s="831"/>
      <c r="X38" s="770"/>
      <c r="Y38" s="824"/>
      <c r="Z38" s="821"/>
      <c r="AA38" s="821">
        <f t="shared" si="39"/>
        <v>717.5</v>
      </c>
      <c r="AB38" s="821">
        <f>(R38+Z38+U38+W38)*T38+AA38</f>
        <v>3350</v>
      </c>
      <c r="AC38" s="825">
        <f t="shared" si="40"/>
        <v>0</v>
      </c>
      <c r="AD38" s="825">
        <f t="shared" si="41"/>
        <v>3350</v>
      </c>
      <c r="AE38" s="826">
        <f t="shared" si="42"/>
        <v>3350</v>
      </c>
      <c r="AF38" s="826">
        <f t="shared" si="43"/>
        <v>0</v>
      </c>
      <c r="AG38" s="827">
        <f>6700*T38</f>
        <v>3350</v>
      </c>
      <c r="AH38" s="826">
        <f>AG38-(R38*T38)</f>
        <v>717.5</v>
      </c>
      <c r="AI38" s="828">
        <f t="shared" si="44"/>
        <v>0</v>
      </c>
      <c r="AJ38" s="828">
        <f t="shared" si="45"/>
        <v>2632.5</v>
      </c>
      <c r="AK38" s="828">
        <f t="shared" si="46"/>
        <v>0</v>
      </c>
      <c r="AL38" s="828">
        <f t="shared" si="47"/>
        <v>2632.5</v>
      </c>
      <c r="AM38" s="828">
        <f t="shared" si="48"/>
        <v>0</v>
      </c>
      <c r="AN38" s="828">
        <f t="shared" si="48"/>
        <v>0</v>
      </c>
      <c r="AO38" s="830">
        <f t="shared" si="49"/>
        <v>0</v>
      </c>
      <c r="AP38" s="830">
        <f t="shared" si="50"/>
        <v>0</v>
      </c>
      <c r="AQ38" s="830">
        <f t="shared" si="51"/>
        <v>717.5</v>
      </c>
      <c r="AR38" s="830">
        <f t="shared" si="52"/>
        <v>0</v>
      </c>
      <c r="AS38" s="830">
        <f t="shared" si="53"/>
        <v>0</v>
      </c>
      <c r="AT38" s="835">
        <f t="shared" si="16"/>
        <v>0</v>
      </c>
      <c r="AU38" s="835">
        <f t="shared" si="17"/>
        <v>2632.5</v>
      </c>
      <c r="AV38" s="828"/>
      <c r="AW38" s="944">
        <f t="shared" si="54"/>
        <v>2632.5</v>
      </c>
    </row>
    <row r="39" spans="2:49" s="200" customFormat="1" ht="33">
      <c r="B39" s="770"/>
      <c r="C39" s="819" t="s">
        <v>1495</v>
      </c>
      <c r="D39" s="820" t="s">
        <v>1496</v>
      </c>
      <c r="E39" s="770" t="s">
        <v>1497</v>
      </c>
      <c r="F39" s="770">
        <v>11</v>
      </c>
      <c r="G39" s="821">
        <v>5699</v>
      </c>
      <c r="H39" s="821"/>
      <c r="I39" s="821"/>
      <c r="J39" s="821"/>
      <c r="K39" s="821"/>
      <c r="L39" s="821"/>
      <c r="M39" s="821"/>
      <c r="N39" s="821"/>
      <c r="O39" s="821"/>
      <c r="P39" s="821"/>
      <c r="Q39" s="821"/>
      <c r="R39" s="821">
        <f t="shared" si="38"/>
        <v>5699</v>
      </c>
      <c r="S39" s="821">
        <v>0.5</v>
      </c>
      <c r="T39" s="831"/>
      <c r="U39" s="831"/>
      <c r="V39" s="831"/>
      <c r="W39" s="831"/>
      <c r="X39" s="770"/>
      <c r="Y39" s="824"/>
      <c r="Z39" s="821"/>
      <c r="AA39" s="821">
        <f t="shared" si="39"/>
        <v>500.5</v>
      </c>
      <c r="AB39" s="821">
        <f>(R39)*S39+AA39</f>
        <v>3350</v>
      </c>
      <c r="AC39" s="825">
        <f t="shared" si="40"/>
        <v>0</v>
      </c>
      <c r="AD39" s="825">
        <f t="shared" si="41"/>
        <v>3350</v>
      </c>
      <c r="AE39" s="826">
        <f t="shared" si="42"/>
        <v>3350</v>
      </c>
      <c r="AF39" s="826">
        <f t="shared" si="43"/>
        <v>0</v>
      </c>
      <c r="AG39" s="827">
        <f>6700*S39</f>
        <v>3350</v>
      </c>
      <c r="AH39" s="826">
        <f>AG39-(R39*S39)</f>
        <v>500.5</v>
      </c>
      <c r="AI39" s="828">
        <f t="shared" si="44"/>
        <v>2849.5</v>
      </c>
      <c r="AJ39" s="828">
        <f t="shared" si="45"/>
        <v>0</v>
      </c>
      <c r="AK39" s="828">
        <f t="shared" si="46"/>
        <v>2849.5</v>
      </c>
      <c r="AL39" s="828">
        <f t="shared" si="47"/>
        <v>0</v>
      </c>
      <c r="AM39" s="828">
        <f t="shared" si="48"/>
        <v>0</v>
      </c>
      <c r="AN39" s="828">
        <f t="shared" si="48"/>
        <v>0</v>
      </c>
      <c r="AO39" s="830">
        <f t="shared" si="49"/>
        <v>0</v>
      </c>
      <c r="AP39" s="830">
        <f t="shared" si="50"/>
        <v>0</v>
      </c>
      <c r="AQ39" s="830">
        <f t="shared" si="51"/>
        <v>500.5</v>
      </c>
      <c r="AR39" s="830">
        <f t="shared" si="52"/>
        <v>0</v>
      </c>
      <c r="AS39" s="830">
        <f t="shared" si="53"/>
        <v>0</v>
      </c>
      <c r="AT39" s="835">
        <f t="shared" si="16"/>
        <v>2849.5</v>
      </c>
      <c r="AU39" s="835">
        <f t="shared" si="17"/>
        <v>0</v>
      </c>
      <c r="AV39" s="828"/>
      <c r="AW39" s="944">
        <f t="shared" si="54"/>
        <v>2849.5</v>
      </c>
    </row>
    <row r="40" spans="2:49" s="196" customFormat="1" ht="31.5">
      <c r="B40" s="770"/>
      <c r="C40" s="799" t="s">
        <v>504</v>
      </c>
      <c r="D40" s="832"/>
      <c r="E40" s="812"/>
      <c r="F40" s="812"/>
      <c r="G40" s="802">
        <f>SUM(G34:G39)</f>
        <v>29594</v>
      </c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>
        <f t="shared" ref="R40:AW40" si="55">SUM(R34:R39)</f>
        <v>29594</v>
      </c>
      <c r="S40" s="802">
        <f t="shared" si="55"/>
        <v>4.5</v>
      </c>
      <c r="T40" s="802">
        <f t="shared" si="55"/>
        <v>0.5</v>
      </c>
      <c r="U40" s="802"/>
      <c r="V40" s="802"/>
      <c r="W40" s="802"/>
      <c r="X40" s="802"/>
      <c r="Y40" s="802"/>
      <c r="Z40" s="802"/>
      <c r="AA40" s="802">
        <f t="shared" si="55"/>
        <v>9388</v>
      </c>
      <c r="AB40" s="802">
        <f t="shared" si="55"/>
        <v>33500</v>
      </c>
      <c r="AC40" s="802">
        <f t="shared" si="55"/>
        <v>0</v>
      </c>
      <c r="AD40" s="802">
        <f t="shared" si="55"/>
        <v>33500</v>
      </c>
      <c r="AE40" s="802">
        <f t="shared" si="55"/>
        <v>33500</v>
      </c>
      <c r="AF40" s="802">
        <f t="shared" si="55"/>
        <v>0</v>
      </c>
      <c r="AG40" s="802">
        <f t="shared" si="55"/>
        <v>33500</v>
      </c>
      <c r="AH40" s="802">
        <f t="shared" si="55"/>
        <v>9388</v>
      </c>
      <c r="AI40" s="802">
        <f t="shared" si="55"/>
        <v>21479.5</v>
      </c>
      <c r="AJ40" s="802">
        <f t="shared" si="55"/>
        <v>2632.5</v>
      </c>
      <c r="AK40" s="802">
        <f t="shared" si="55"/>
        <v>21479.5</v>
      </c>
      <c r="AL40" s="802">
        <f t="shared" si="55"/>
        <v>2632.5</v>
      </c>
      <c r="AM40" s="802">
        <f t="shared" si="55"/>
        <v>0</v>
      </c>
      <c r="AN40" s="802">
        <f t="shared" si="55"/>
        <v>0</v>
      </c>
      <c r="AO40" s="802">
        <f t="shared" si="55"/>
        <v>0</v>
      </c>
      <c r="AP40" s="802">
        <f t="shared" si="55"/>
        <v>0</v>
      </c>
      <c r="AQ40" s="802">
        <f t="shared" si="55"/>
        <v>9388</v>
      </c>
      <c r="AR40" s="802">
        <f t="shared" si="55"/>
        <v>0</v>
      </c>
      <c r="AS40" s="802">
        <f t="shared" si="55"/>
        <v>0</v>
      </c>
      <c r="AT40" s="802">
        <f t="shared" si="55"/>
        <v>21479.5</v>
      </c>
      <c r="AU40" s="802">
        <f t="shared" si="55"/>
        <v>2632.5</v>
      </c>
      <c r="AV40" s="802">
        <f t="shared" si="55"/>
        <v>0</v>
      </c>
      <c r="AW40" s="802">
        <f t="shared" si="55"/>
        <v>24112</v>
      </c>
    </row>
    <row r="41" spans="2:49" s="196" customFormat="1" ht="33">
      <c r="B41" s="770"/>
      <c r="C41" s="812" t="s">
        <v>814</v>
      </c>
      <c r="D41" s="832"/>
      <c r="E41" s="812"/>
      <c r="F41" s="81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  <c r="S41" s="802"/>
      <c r="T41" s="802"/>
      <c r="U41" s="802"/>
      <c r="V41" s="802"/>
      <c r="W41" s="802"/>
      <c r="X41" s="802"/>
      <c r="Y41" s="802"/>
      <c r="Z41" s="802"/>
      <c r="AA41" s="802"/>
      <c r="AB41" s="802"/>
      <c r="AC41" s="833"/>
      <c r="AD41" s="833"/>
      <c r="AE41" s="833"/>
      <c r="AF41" s="833"/>
      <c r="AG41" s="833"/>
      <c r="AH41" s="833"/>
      <c r="AI41" s="833"/>
      <c r="AJ41" s="833"/>
      <c r="AK41" s="833"/>
      <c r="AL41" s="833"/>
      <c r="AM41" s="833"/>
      <c r="AN41" s="833"/>
      <c r="AO41" s="833"/>
      <c r="AP41" s="833"/>
      <c r="AQ41" s="833"/>
      <c r="AR41" s="833"/>
      <c r="AS41" s="833"/>
      <c r="AT41" s="835"/>
      <c r="AU41" s="835"/>
      <c r="AV41" s="833"/>
      <c r="AW41" s="868"/>
    </row>
    <row r="42" spans="2:49" s="200" customFormat="1" ht="33">
      <c r="B42" s="770"/>
      <c r="C42" s="819" t="s">
        <v>1490</v>
      </c>
      <c r="D42" s="820"/>
      <c r="E42" s="770" t="s">
        <v>1491</v>
      </c>
      <c r="F42" s="770">
        <v>7</v>
      </c>
      <c r="G42" s="821">
        <v>4455</v>
      </c>
      <c r="H42" s="821"/>
      <c r="I42" s="821"/>
      <c r="J42" s="821"/>
      <c r="K42" s="821"/>
      <c r="L42" s="821"/>
      <c r="M42" s="821"/>
      <c r="N42" s="821"/>
      <c r="O42" s="821"/>
      <c r="P42" s="821"/>
      <c r="Q42" s="821"/>
      <c r="R42" s="821">
        <f>G42+I42+K42+L42+N42+P42+Q42</f>
        <v>4455</v>
      </c>
      <c r="S42" s="821">
        <v>1</v>
      </c>
      <c r="T42" s="831"/>
      <c r="U42" s="831"/>
      <c r="V42" s="831"/>
      <c r="W42" s="831"/>
      <c r="X42" s="770"/>
      <c r="Y42" s="824"/>
      <c r="Z42" s="821"/>
      <c r="AA42" s="821">
        <f>AH42</f>
        <v>2245</v>
      </c>
      <c r="AB42" s="821">
        <f>(R42+AA42)*S42</f>
        <v>6700</v>
      </c>
      <c r="AC42" s="825">
        <f>AF42</f>
        <v>0</v>
      </c>
      <c r="AD42" s="825">
        <f>AB42+AC42</f>
        <v>6700</v>
      </c>
      <c r="AE42" s="826">
        <f>AB42</f>
        <v>6700</v>
      </c>
      <c r="AF42" s="826">
        <f>AE42-AB42</f>
        <v>0</v>
      </c>
      <c r="AG42" s="827">
        <f>6700*S42</f>
        <v>6700</v>
      </c>
      <c r="AH42" s="826">
        <f>AG42-(R42*S42)</f>
        <v>2245</v>
      </c>
      <c r="AI42" s="828">
        <f>G42*S42</f>
        <v>4455</v>
      </c>
      <c r="AJ42" s="828">
        <f>G42*T42</f>
        <v>0</v>
      </c>
      <c r="AK42" s="828">
        <f>R42*S42</f>
        <v>4455</v>
      </c>
      <c r="AL42" s="828">
        <f>R42*T42</f>
        <v>0</v>
      </c>
      <c r="AM42" s="828">
        <f>AK42-AI42</f>
        <v>0</v>
      </c>
      <c r="AN42" s="828">
        <f>AL42-AJ42</f>
        <v>0</v>
      </c>
      <c r="AO42" s="830">
        <f>Z42*S42</f>
        <v>0</v>
      </c>
      <c r="AP42" s="830">
        <f>Z42*T42</f>
        <v>0</v>
      </c>
      <c r="AQ42" s="830">
        <f>AA42</f>
        <v>2245</v>
      </c>
      <c r="AR42" s="830">
        <f>W42*S42</f>
        <v>0</v>
      </c>
      <c r="AS42" s="830">
        <f>W42*T42</f>
        <v>0</v>
      </c>
      <c r="AT42" s="835">
        <f t="shared" si="16"/>
        <v>4455</v>
      </c>
      <c r="AU42" s="835">
        <f t="shared" si="17"/>
        <v>0</v>
      </c>
      <c r="AV42" s="828"/>
      <c r="AW42" s="944">
        <f>AT42+AU42-AV42</f>
        <v>4455</v>
      </c>
    </row>
    <row r="43" spans="2:49" s="200" customFormat="1" ht="33">
      <c r="B43" s="770"/>
      <c r="C43" s="839" t="s">
        <v>796</v>
      </c>
      <c r="D43" s="820"/>
      <c r="E43" s="770"/>
      <c r="F43" s="770"/>
      <c r="G43" s="821"/>
      <c r="H43" s="821"/>
      <c r="I43" s="821"/>
      <c r="J43" s="821"/>
      <c r="K43" s="821"/>
      <c r="L43" s="821"/>
      <c r="M43" s="821"/>
      <c r="N43" s="821"/>
      <c r="O43" s="821"/>
      <c r="P43" s="821"/>
      <c r="Q43" s="821"/>
      <c r="R43" s="821"/>
      <c r="S43" s="821"/>
      <c r="T43" s="831"/>
      <c r="U43" s="831"/>
      <c r="V43" s="831"/>
      <c r="W43" s="831"/>
      <c r="X43" s="770"/>
      <c r="Y43" s="824"/>
      <c r="Z43" s="821"/>
      <c r="AA43" s="821"/>
      <c r="AB43" s="821"/>
      <c r="AC43" s="825"/>
      <c r="AD43" s="825"/>
      <c r="AE43" s="826"/>
      <c r="AF43" s="826"/>
      <c r="AG43" s="827"/>
      <c r="AH43" s="826"/>
      <c r="AI43" s="828"/>
      <c r="AJ43" s="828"/>
      <c r="AK43" s="828"/>
      <c r="AL43" s="828"/>
      <c r="AM43" s="828"/>
      <c r="AN43" s="828"/>
      <c r="AO43" s="830"/>
      <c r="AP43" s="830"/>
      <c r="AQ43" s="830"/>
      <c r="AR43" s="830"/>
      <c r="AS43" s="830"/>
      <c r="AT43" s="835"/>
      <c r="AU43" s="835"/>
      <c r="AV43" s="828"/>
      <c r="AW43" s="944"/>
    </row>
    <row r="44" spans="2:49" s="200" customFormat="1" ht="33">
      <c r="B44" s="770"/>
      <c r="C44" s="819" t="s">
        <v>1492</v>
      </c>
      <c r="D44" s="820"/>
      <c r="E44" s="770" t="s">
        <v>1687</v>
      </c>
      <c r="F44" s="770">
        <v>6</v>
      </c>
      <c r="G44" s="821">
        <v>4195</v>
      </c>
      <c r="H44" s="821"/>
      <c r="I44" s="821"/>
      <c r="J44" s="821"/>
      <c r="K44" s="821"/>
      <c r="L44" s="821"/>
      <c r="M44" s="821"/>
      <c r="N44" s="821"/>
      <c r="O44" s="821"/>
      <c r="P44" s="821"/>
      <c r="Q44" s="821"/>
      <c r="R44" s="821">
        <f>G44+I44+K44+L44+N44+P44+Q44</f>
        <v>4195</v>
      </c>
      <c r="S44" s="821">
        <v>1</v>
      </c>
      <c r="T44" s="831"/>
      <c r="U44" s="831"/>
      <c r="V44" s="831"/>
      <c r="W44" s="831"/>
      <c r="X44" s="770"/>
      <c r="Y44" s="824"/>
      <c r="Z44" s="821"/>
      <c r="AA44" s="821">
        <f>AH44</f>
        <v>2505</v>
      </c>
      <c r="AB44" s="821">
        <f>(R44+AA44)*S44</f>
        <v>6700</v>
      </c>
      <c r="AC44" s="825">
        <f>AF44</f>
        <v>0</v>
      </c>
      <c r="AD44" s="825">
        <f>AB44+AC44</f>
        <v>6700</v>
      </c>
      <c r="AE44" s="826">
        <f>AB44</f>
        <v>6700</v>
      </c>
      <c r="AF44" s="826">
        <f>AE44-AB44</f>
        <v>0</v>
      </c>
      <c r="AG44" s="827">
        <f>6700*S44</f>
        <v>6700</v>
      </c>
      <c r="AH44" s="826">
        <f>AG44-(R44*S44)</f>
        <v>2505</v>
      </c>
      <c r="AI44" s="828">
        <f>G44*S44</f>
        <v>4195</v>
      </c>
      <c r="AJ44" s="828">
        <f>G44*T44</f>
        <v>0</v>
      </c>
      <c r="AK44" s="828">
        <f>R44*S44</f>
        <v>4195</v>
      </c>
      <c r="AL44" s="828">
        <f>R44*T44</f>
        <v>0</v>
      </c>
      <c r="AM44" s="828">
        <f>AK44-AI44</f>
        <v>0</v>
      </c>
      <c r="AN44" s="828">
        <f>AL44-AJ44</f>
        <v>0</v>
      </c>
      <c r="AO44" s="830">
        <f>Z44*S44</f>
        <v>0</v>
      </c>
      <c r="AP44" s="830">
        <f>Z44*T44</f>
        <v>0</v>
      </c>
      <c r="AQ44" s="830">
        <f>AA44</f>
        <v>2505</v>
      </c>
      <c r="AR44" s="830">
        <f>W44*S44</f>
        <v>0</v>
      </c>
      <c r="AS44" s="830">
        <f>W44*T44</f>
        <v>0</v>
      </c>
      <c r="AT44" s="835">
        <f t="shared" si="16"/>
        <v>4195</v>
      </c>
      <c r="AU44" s="835">
        <f t="shared" si="17"/>
        <v>0</v>
      </c>
      <c r="AV44" s="828"/>
      <c r="AW44" s="944">
        <f>AT44+AU44-AV44</f>
        <v>4195</v>
      </c>
    </row>
    <row r="45" spans="2:49" s="200" customFormat="1" ht="33">
      <c r="B45" s="770"/>
      <c r="C45" s="819" t="s">
        <v>1492</v>
      </c>
      <c r="D45" s="820"/>
      <c r="E45" s="770" t="s">
        <v>1493</v>
      </c>
      <c r="F45" s="770">
        <v>6</v>
      </c>
      <c r="G45" s="821">
        <v>4195</v>
      </c>
      <c r="H45" s="821"/>
      <c r="I45" s="821"/>
      <c r="J45" s="821"/>
      <c r="K45" s="821"/>
      <c r="L45" s="821"/>
      <c r="M45" s="821"/>
      <c r="N45" s="821"/>
      <c r="O45" s="821"/>
      <c r="P45" s="821"/>
      <c r="Q45" s="821"/>
      <c r="R45" s="821">
        <f>G45+I45+K45+L45+N45+P45+Q45</f>
        <v>4195</v>
      </c>
      <c r="S45" s="821">
        <v>1</v>
      </c>
      <c r="T45" s="831"/>
      <c r="U45" s="831"/>
      <c r="V45" s="831"/>
      <c r="W45" s="831"/>
      <c r="X45" s="770"/>
      <c r="Y45" s="824"/>
      <c r="Z45" s="821"/>
      <c r="AA45" s="821">
        <f>AH45</f>
        <v>2505</v>
      </c>
      <c r="AB45" s="821">
        <f>(R45+AA45)*S45</f>
        <v>6700</v>
      </c>
      <c r="AC45" s="825">
        <f>AF45</f>
        <v>0</v>
      </c>
      <c r="AD45" s="825">
        <f>AB45+AC45</f>
        <v>6700</v>
      </c>
      <c r="AE45" s="826">
        <f>AB45</f>
        <v>6700</v>
      </c>
      <c r="AF45" s="826">
        <f>AE45-AB45</f>
        <v>0</v>
      </c>
      <c r="AG45" s="827">
        <f>6700*S45</f>
        <v>6700</v>
      </c>
      <c r="AH45" s="826">
        <f>AG45-(R45*S45)</f>
        <v>2505</v>
      </c>
      <c r="AI45" s="828">
        <f>G45*S45</f>
        <v>4195</v>
      </c>
      <c r="AJ45" s="828">
        <f>G45*T45</f>
        <v>0</v>
      </c>
      <c r="AK45" s="828">
        <f>R45*S45</f>
        <v>4195</v>
      </c>
      <c r="AL45" s="828">
        <f>R45*T45</f>
        <v>0</v>
      </c>
      <c r="AM45" s="828">
        <f>AK45-AI45</f>
        <v>0</v>
      </c>
      <c r="AN45" s="828">
        <f>AL45-AJ45</f>
        <v>0</v>
      </c>
      <c r="AO45" s="830">
        <f>Z45*S45</f>
        <v>0</v>
      </c>
      <c r="AP45" s="830">
        <f>Z45*T45</f>
        <v>0</v>
      </c>
      <c r="AQ45" s="830">
        <f>AA45</f>
        <v>2505</v>
      </c>
      <c r="AR45" s="830">
        <f>W45*S45</f>
        <v>0</v>
      </c>
      <c r="AS45" s="830">
        <f>W45*T45</f>
        <v>0</v>
      </c>
      <c r="AT45" s="835">
        <f t="shared" si="16"/>
        <v>4195</v>
      </c>
      <c r="AU45" s="835">
        <f t="shared" si="17"/>
        <v>0</v>
      </c>
      <c r="AV45" s="828"/>
      <c r="AW45" s="944">
        <f>AT45+AU45-AV45</f>
        <v>4195</v>
      </c>
    </row>
    <row r="46" spans="2:49" s="200" customFormat="1" ht="33">
      <c r="B46" s="770"/>
      <c r="C46" s="839" t="s">
        <v>797</v>
      </c>
      <c r="D46" s="820"/>
      <c r="E46" s="770"/>
      <c r="F46" s="770"/>
      <c r="G46" s="821"/>
      <c r="H46" s="821"/>
      <c r="I46" s="821"/>
      <c r="J46" s="821"/>
      <c r="K46" s="821"/>
      <c r="L46" s="821"/>
      <c r="M46" s="821"/>
      <c r="N46" s="821"/>
      <c r="O46" s="821"/>
      <c r="P46" s="821"/>
      <c r="Q46" s="821"/>
      <c r="R46" s="821"/>
      <c r="S46" s="821"/>
      <c r="T46" s="831"/>
      <c r="U46" s="831"/>
      <c r="V46" s="831"/>
      <c r="W46" s="831"/>
      <c r="X46" s="770"/>
      <c r="Y46" s="824"/>
      <c r="Z46" s="821"/>
      <c r="AA46" s="821"/>
      <c r="AB46" s="821"/>
      <c r="AC46" s="825"/>
      <c r="AD46" s="825"/>
      <c r="AE46" s="826"/>
      <c r="AF46" s="826"/>
      <c r="AG46" s="827"/>
      <c r="AH46" s="826"/>
      <c r="AI46" s="828"/>
      <c r="AJ46" s="828"/>
      <c r="AK46" s="828"/>
      <c r="AL46" s="828"/>
      <c r="AM46" s="828"/>
      <c r="AN46" s="828"/>
      <c r="AO46" s="830"/>
      <c r="AP46" s="830"/>
      <c r="AQ46" s="830"/>
      <c r="AR46" s="830"/>
      <c r="AS46" s="830"/>
      <c r="AT46" s="835"/>
      <c r="AU46" s="835"/>
      <c r="AV46" s="828"/>
      <c r="AW46" s="944"/>
    </row>
    <row r="47" spans="2:49" s="196" customFormat="1" ht="33">
      <c r="B47" s="770"/>
      <c r="C47" s="819" t="s">
        <v>1510</v>
      </c>
      <c r="D47" s="820" t="s">
        <v>1511</v>
      </c>
      <c r="E47" s="770" t="s">
        <v>1512</v>
      </c>
      <c r="F47" s="770">
        <v>3</v>
      </c>
      <c r="G47" s="821">
        <v>3414</v>
      </c>
      <c r="H47" s="824">
        <v>0.2</v>
      </c>
      <c r="I47" s="770">
        <f t="shared" ref="I47:I52" si="56">G47*H47</f>
        <v>682.80000000000007</v>
      </c>
      <c r="J47" s="821"/>
      <c r="K47" s="821"/>
      <c r="L47" s="821"/>
      <c r="M47" s="821"/>
      <c r="N47" s="821"/>
      <c r="O47" s="821"/>
      <c r="P47" s="821"/>
      <c r="Q47" s="821"/>
      <c r="R47" s="821">
        <f t="shared" ref="R47:R63" si="57">G47+I47+K47+L47+N47+P47+Q47</f>
        <v>4096.8</v>
      </c>
      <c r="S47" s="821">
        <v>1</v>
      </c>
      <c r="T47" s="831"/>
      <c r="U47" s="831"/>
      <c r="V47" s="831"/>
      <c r="W47" s="831"/>
      <c r="X47" s="770"/>
      <c r="Y47" s="824"/>
      <c r="Z47" s="821"/>
      <c r="AA47" s="821">
        <f t="shared" ref="AA47:AA52" si="58">AH47</f>
        <v>2603.1999999999998</v>
      </c>
      <c r="AB47" s="821">
        <f>(R47+AA47)*S47</f>
        <v>6700</v>
      </c>
      <c r="AC47" s="825">
        <f t="shared" ref="AC47:AC63" si="59">AF47</f>
        <v>0</v>
      </c>
      <c r="AD47" s="825">
        <f t="shared" ref="AD47:AD71" si="60">AB47+AC47</f>
        <v>6700</v>
      </c>
      <c r="AE47" s="826">
        <f t="shared" ref="AE47:AE71" si="61">AB47</f>
        <v>6700</v>
      </c>
      <c r="AF47" s="826">
        <f t="shared" ref="AF47:AF63" si="62">AE47-AB47</f>
        <v>0</v>
      </c>
      <c r="AG47" s="827">
        <f>6700*S47</f>
        <v>6700</v>
      </c>
      <c r="AH47" s="826">
        <f>AG47-(R47*S47)</f>
        <v>2603.1999999999998</v>
      </c>
      <c r="AI47" s="828">
        <f t="shared" ref="AI47:AI63" si="63">G47*S47</f>
        <v>3414</v>
      </c>
      <c r="AJ47" s="828">
        <f t="shared" ref="AJ47:AJ63" si="64">G47*T47</f>
        <v>0</v>
      </c>
      <c r="AK47" s="828">
        <f t="shared" ref="AK47:AK63" si="65">R47*S47</f>
        <v>4096.8</v>
      </c>
      <c r="AL47" s="828">
        <f t="shared" ref="AL47:AL63" si="66">R47*T47</f>
        <v>0</v>
      </c>
      <c r="AM47" s="828">
        <f t="shared" ref="AM47:AM63" si="67">AK47-AI47</f>
        <v>682.80000000000018</v>
      </c>
      <c r="AN47" s="828">
        <f t="shared" ref="AN47:AN63" si="68">AL47-AJ47</f>
        <v>0</v>
      </c>
      <c r="AO47" s="830">
        <f t="shared" ref="AO47:AO63" si="69">Z47*S47</f>
        <v>0</v>
      </c>
      <c r="AP47" s="830">
        <f t="shared" ref="AP47:AP63" si="70">Z47*T47</f>
        <v>0</v>
      </c>
      <c r="AQ47" s="830">
        <f t="shared" ref="AQ47:AQ63" si="71">AA47</f>
        <v>2603.1999999999998</v>
      </c>
      <c r="AR47" s="830">
        <f t="shared" ref="AR47:AR63" si="72">W47*S47</f>
        <v>0</v>
      </c>
      <c r="AS47" s="830">
        <f t="shared" ref="AS47:AS63" si="73">W47*T47</f>
        <v>0</v>
      </c>
      <c r="AT47" s="835">
        <f t="shared" si="16"/>
        <v>4096.8</v>
      </c>
      <c r="AU47" s="835">
        <f t="shared" si="17"/>
        <v>0</v>
      </c>
      <c r="AV47" s="828"/>
      <c r="AW47" s="944">
        <f t="shared" ref="AW47:AW63" si="74">AT47+AU47-AV47</f>
        <v>4096.8</v>
      </c>
    </row>
    <row r="48" spans="2:49" s="196" customFormat="1" ht="33">
      <c r="B48" s="770"/>
      <c r="C48" s="819" t="s">
        <v>1510</v>
      </c>
      <c r="D48" s="820" t="s">
        <v>1511</v>
      </c>
      <c r="E48" s="770" t="s">
        <v>1512</v>
      </c>
      <c r="F48" s="770">
        <v>3</v>
      </c>
      <c r="G48" s="821">
        <v>3414</v>
      </c>
      <c r="H48" s="824">
        <v>0.2</v>
      </c>
      <c r="I48" s="770">
        <f t="shared" si="56"/>
        <v>682.80000000000007</v>
      </c>
      <c r="J48" s="821"/>
      <c r="K48" s="821"/>
      <c r="L48" s="821"/>
      <c r="M48" s="821"/>
      <c r="N48" s="821"/>
      <c r="O48" s="821"/>
      <c r="P48" s="821"/>
      <c r="Q48" s="821"/>
      <c r="R48" s="821">
        <f t="shared" si="57"/>
        <v>4096.8</v>
      </c>
      <c r="S48" s="821"/>
      <c r="T48" s="821">
        <v>0.5</v>
      </c>
      <c r="U48" s="831"/>
      <c r="V48" s="831"/>
      <c r="W48" s="831"/>
      <c r="X48" s="770"/>
      <c r="Y48" s="824"/>
      <c r="Z48" s="821"/>
      <c r="AA48" s="821">
        <f t="shared" si="58"/>
        <v>1301.5999999999999</v>
      </c>
      <c r="AB48" s="821">
        <f>(R48+Z48+U48+W48)*T48+AA48</f>
        <v>3350</v>
      </c>
      <c r="AC48" s="825">
        <f t="shared" si="59"/>
        <v>0</v>
      </c>
      <c r="AD48" s="825">
        <f t="shared" si="60"/>
        <v>3350</v>
      </c>
      <c r="AE48" s="826">
        <f t="shared" si="61"/>
        <v>3350</v>
      </c>
      <c r="AF48" s="826">
        <f t="shared" si="62"/>
        <v>0</v>
      </c>
      <c r="AG48" s="827">
        <f>6700*T48</f>
        <v>3350</v>
      </c>
      <c r="AH48" s="826">
        <f>AG48-(R48*T48)</f>
        <v>1301.5999999999999</v>
      </c>
      <c r="AI48" s="828">
        <f t="shared" si="63"/>
        <v>0</v>
      </c>
      <c r="AJ48" s="828">
        <f t="shared" si="64"/>
        <v>1707</v>
      </c>
      <c r="AK48" s="828">
        <f t="shared" si="65"/>
        <v>0</v>
      </c>
      <c r="AL48" s="828">
        <f t="shared" si="66"/>
        <v>2048.4</v>
      </c>
      <c r="AM48" s="828">
        <f t="shared" si="67"/>
        <v>0</v>
      </c>
      <c r="AN48" s="828">
        <f t="shared" si="68"/>
        <v>341.40000000000009</v>
      </c>
      <c r="AO48" s="830">
        <f t="shared" si="69"/>
        <v>0</v>
      </c>
      <c r="AP48" s="830">
        <f t="shared" si="70"/>
        <v>0</v>
      </c>
      <c r="AQ48" s="830">
        <f t="shared" si="71"/>
        <v>1301.5999999999999</v>
      </c>
      <c r="AR48" s="830">
        <f t="shared" si="72"/>
        <v>0</v>
      </c>
      <c r="AS48" s="830">
        <f t="shared" si="73"/>
        <v>0</v>
      </c>
      <c r="AT48" s="835">
        <f t="shared" si="16"/>
        <v>0</v>
      </c>
      <c r="AU48" s="835">
        <f t="shared" si="17"/>
        <v>2048.4</v>
      </c>
      <c r="AV48" s="828"/>
      <c r="AW48" s="944">
        <f t="shared" si="74"/>
        <v>2048.4</v>
      </c>
    </row>
    <row r="49" spans="2:49" s="196" customFormat="1" ht="33">
      <c r="B49" s="770"/>
      <c r="C49" s="819" t="s">
        <v>1510</v>
      </c>
      <c r="D49" s="820" t="s">
        <v>1511</v>
      </c>
      <c r="E49" s="770" t="s">
        <v>1513</v>
      </c>
      <c r="F49" s="770">
        <v>4</v>
      </c>
      <c r="G49" s="821">
        <v>3674</v>
      </c>
      <c r="H49" s="824">
        <v>0.2</v>
      </c>
      <c r="I49" s="770">
        <f t="shared" si="56"/>
        <v>734.80000000000007</v>
      </c>
      <c r="J49" s="821"/>
      <c r="K49" s="821"/>
      <c r="L49" s="821"/>
      <c r="M49" s="821"/>
      <c r="N49" s="821"/>
      <c r="O49" s="821"/>
      <c r="P49" s="821"/>
      <c r="Q49" s="821"/>
      <c r="R49" s="821">
        <f t="shared" si="57"/>
        <v>4408.8</v>
      </c>
      <c r="S49" s="821">
        <v>1</v>
      </c>
      <c r="T49" s="821"/>
      <c r="U49" s="831"/>
      <c r="V49" s="831"/>
      <c r="W49" s="831"/>
      <c r="X49" s="770"/>
      <c r="Y49" s="824"/>
      <c r="Z49" s="821"/>
      <c r="AA49" s="821">
        <f t="shared" si="58"/>
        <v>2291.1999999999998</v>
      </c>
      <c r="AB49" s="821">
        <f>(R49+AA49)*S49</f>
        <v>6700</v>
      </c>
      <c r="AC49" s="825">
        <f t="shared" si="59"/>
        <v>0</v>
      </c>
      <c r="AD49" s="825">
        <f t="shared" si="60"/>
        <v>6700</v>
      </c>
      <c r="AE49" s="826">
        <f t="shared" si="61"/>
        <v>6700</v>
      </c>
      <c r="AF49" s="826">
        <f t="shared" si="62"/>
        <v>0</v>
      </c>
      <c r="AG49" s="827">
        <f>6700*S49</f>
        <v>6700</v>
      </c>
      <c r="AH49" s="826">
        <f>AG49-(R49*S49)</f>
        <v>2291.1999999999998</v>
      </c>
      <c r="AI49" s="828">
        <f t="shared" si="63"/>
        <v>3674</v>
      </c>
      <c r="AJ49" s="828">
        <f t="shared" si="64"/>
        <v>0</v>
      </c>
      <c r="AK49" s="828">
        <f t="shared" si="65"/>
        <v>4408.8</v>
      </c>
      <c r="AL49" s="828">
        <f t="shared" si="66"/>
        <v>0</v>
      </c>
      <c r="AM49" s="828">
        <f t="shared" si="67"/>
        <v>734.80000000000018</v>
      </c>
      <c r="AN49" s="828">
        <f t="shared" si="68"/>
        <v>0</v>
      </c>
      <c r="AO49" s="830">
        <f t="shared" si="69"/>
        <v>0</v>
      </c>
      <c r="AP49" s="830">
        <f t="shared" si="70"/>
        <v>0</v>
      </c>
      <c r="AQ49" s="830">
        <f t="shared" si="71"/>
        <v>2291.1999999999998</v>
      </c>
      <c r="AR49" s="830">
        <f t="shared" si="72"/>
        <v>0</v>
      </c>
      <c r="AS49" s="830">
        <f t="shared" si="73"/>
        <v>0</v>
      </c>
      <c r="AT49" s="835">
        <f t="shared" si="16"/>
        <v>4408.8</v>
      </c>
      <c r="AU49" s="835">
        <f t="shared" si="17"/>
        <v>0</v>
      </c>
      <c r="AV49" s="828"/>
      <c r="AW49" s="944">
        <f t="shared" si="74"/>
        <v>4408.8</v>
      </c>
    </row>
    <row r="50" spans="2:49" s="196" customFormat="1" ht="33">
      <c r="B50" s="770"/>
      <c r="C50" s="819" t="s">
        <v>1510</v>
      </c>
      <c r="D50" s="820" t="s">
        <v>1511</v>
      </c>
      <c r="E50" s="770" t="s">
        <v>1513</v>
      </c>
      <c r="F50" s="770">
        <v>4</v>
      </c>
      <c r="G50" s="821">
        <v>3674</v>
      </c>
      <c r="H50" s="824">
        <v>0.2</v>
      </c>
      <c r="I50" s="770">
        <f t="shared" si="56"/>
        <v>734.80000000000007</v>
      </c>
      <c r="J50" s="821"/>
      <c r="K50" s="821"/>
      <c r="L50" s="821"/>
      <c r="M50" s="821"/>
      <c r="N50" s="821"/>
      <c r="O50" s="821"/>
      <c r="P50" s="821"/>
      <c r="Q50" s="821"/>
      <c r="R50" s="821">
        <f t="shared" si="57"/>
        <v>4408.8</v>
      </c>
      <c r="S50" s="821"/>
      <c r="T50" s="821">
        <v>0.5</v>
      </c>
      <c r="U50" s="831"/>
      <c r="V50" s="831"/>
      <c r="W50" s="831"/>
      <c r="X50" s="770"/>
      <c r="Y50" s="824"/>
      <c r="Z50" s="821"/>
      <c r="AA50" s="821">
        <f t="shared" si="58"/>
        <v>1145.5999999999999</v>
      </c>
      <c r="AB50" s="821">
        <f>(R50+Z50+U50+W50)*T50+AA50</f>
        <v>3350</v>
      </c>
      <c r="AC50" s="825">
        <f t="shared" si="59"/>
        <v>0</v>
      </c>
      <c r="AD50" s="825">
        <f t="shared" si="60"/>
        <v>3350</v>
      </c>
      <c r="AE50" s="826">
        <f t="shared" si="61"/>
        <v>3350</v>
      </c>
      <c r="AF50" s="826">
        <f t="shared" si="62"/>
        <v>0</v>
      </c>
      <c r="AG50" s="827">
        <f>6700*T50</f>
        <v>3350</v>
      </c>
      <c r="AH50" s="826">
        <f>AG50-(R50*T50)</f>
        <v>1145.5999999999999</v>
      </c>
      <c r="AI50" s="828">
        <f t="shared" si="63"/>
        <v>0</v>
      </c>
      <c r="AJ50" s="828">
        <f t="shared" si="64"/>
        <v>1837</v>
      </c>
      <c r="AK50" s="828">
        <f t="shared" si="65"/>
        <v>0</v>
      </c>
      <c r="AL50" s="828">
        <f t="shared" si="66"/>
        <v>2204.4</v>
      </c>
      <c r="AM50" s="828">
        <f t="shared" si="67"/>
        <v>0</v>
      </c>
      <c r="AN50" s="828">
        <f t="shared" si="68"/>
        <v>367.40000000000009</v>
      </c>
      <c r="AO50" s="830">
        <f t="shared" si="69"/>
        <v>0</v>
      </c>
      <c r="AP50" s="830">
        <f t="shared" si="70"/>
        <v>0</v>
      </c>
      <c r="AQ50" s="830">
        <f t="shared" si="71"/>
        <v>1145.5999999999999</v>
      </c>
      <c r="AR50" s="830">
        <f t="shared" si="72"/>
        <v>0</v>
      </c>
      <c r="AS50" s="830">
        <f t="shared" si="73"/>
        <v>0</v>
      </c>
      <c r="AT50" s="835">
        <f t="shared" si="16"/>
        <v>0</v>
      </c>
      <c r="AU50" s="835">
        <f t="shared" si="17"/>
        <v>2204.4</v>
      </c>
      <c r="AV50" s="828"/>
      <c r="AW50" s="944">
        <f t="shared" si="74"/>
        <v>2204.4</v>
      </c>
    </row>
    <row r="51" spans="2:49" s="196" customFormat="1" ht="33">
      <c r="B51" s="770"/>
      <c r="C51" s="819" t="s">
        <v>1510</v>
      </c>
      <c r="D51" s="820" t="s">
        <v>1514</v>
      </c>
      <c r="E51" s="770" t="s">
        <v>1515</v>
      </c>
      <c r="F51" s="770">
        <v>3</v>
      </c>
      <c r="G51" s="821">
        <v>3414</v>
      </c>
      <c r="H51" s="824">
        <v>0.2</v>
      </c>
      <c r="I51" s="770">
        <f t="shared" si="56"/>
        <v>682.80000000000007</v>
      </c>
      <c r="J51" s="821"/>
      <c r="K51" s="821"/>
      <c r="L51" s="821"/>
      <c r="M51" s="821"/>
      <c r="N51" s="821"/>
      <c r="O51" s="821"/>
      <c r="P51" s="821"/>
      <c r="Q51" s="821"/>
      <c r="R51" s="821">
        <f t="shared" si="57"/>
        <v>4096.8</v>
      </c>
      <c r="S51" s="821">
        <v>1</v>
      </c>
      <c r="T51" s="831"/>
      <c r="U51" s="831"/>
      <c r="V51" s="824"/>
      <c r="W51" s="829"/>
      <c r="X51" s="770"/>
      <c r="Y51" s="824"/>
      <c r="Z51" s="821"/>
      <c r="AA51" s="821">
        <f t="shared" si="58"/>
        <v>2603.1999999999998</v>
      </c>
      <c r="AB51" s="821">
        <f>(R51+AA51)*S51</f>
        <v>6700</v>
      </c>
      <c r="AC51" s="825">
        <f t="shared" si="59"/>
        <v>0</v>
      </c>
      <c r="AD51" s="825">
        <f t="shared" si="60"/>
        <v>6700</v>
      </c>
      <c r="AE51" s="826">
        <f t="shared" si="61"/>
        <v>6700</v>
      </c>
      <c r="AF51" s="826">
        <f t="shared" si="62"/>
        <v>0</v>
      </c>
      <c r="AG51" s="827">
        <f>6700*S51</f>
        <v>6700</v>
      </c>
      <c r="AH51" s="826">
        <f>AG51-(R51*S51)</f>
        <v>2603.1999999999998</v>
      </c>
      <c r="AI51" s="828">
        <f t="shared" si="63"/>
        <v>3414</v>
      </c>
      <c r="AJ51" s="828">
        <f t="shared" si="64"/>
        <v>0</v>
      </c>
      <c r="AK51" s="828">
        <f t="shared" si="65"/>
        <v>4096.8</v>
      </c>
      <c r="AL51" s="828">
        <f t="shared" si="66"/>
        <v>0</v>
      </c>
      <c r="AM51" s="828">
        <f t="shared" si="67"/>
        <v>682.80000000000018</v>
      </c>
      <c r="AN51" s="828">
        <f t="shared" si="68"/>
        <v>0</v>
      </c>
      <c r="AO51" s="830">
        <f t="shared" si="69"/>
        <v>0</v>
      </c>
      <c r="AP51" s="830">
        <f t="shared" si="70"/>
        <v>0</v>
      </c>
      <c r="AQ51" s="830">
        <f t="shared" si="71"/>
        <v>2603.1999999999998</v>
      </c>
      <c r="AR51" s="830">
        <f t="shared" si="72"/>
        <v>0</v>
      </c>
      <c r="AS51" s="830">
        <f t="shared" si="73"/>
        <v>0</v>
      </c>
      <c r="AT51" s="835">
        <f t="shared" si="16"/>
        <v>4096.8</v>
      </c>
      <c r="AU51" s="835">
        <f t="shared" si="17"/>
        <v>0</v>
      </c>
      <c r="AV51" s="828"/>
      <c r="AW51" s="944">
        <f t="shared" si="74"/>
        <v>4096.8</v>
      </c>
    </row>
    <row r="52" spans="2:49" s="196" customFormat="1" ht="33">
      <c r="B52" s="770"/>
      <c r="C52" s="819" t="s">
        <v>1510</v>
      </c>
      <c r="D52" s="820" t="s">
        <v>1514</v>
      </c>
      <c r="E52" s="770" t="s">
        <v>1515</v>
      </c>
      <c r="F52" s="770">
        <v>3</v>
      </c>
      <c r="G52" s="821">
        <v>3414</v>
      </c>
      <c r="H52" s="824">
        <v>0.2</v>
      </c>
      <c r="I52" s="770">
        <f t="shared" si="56"/>
        <v>682.80000000000007</v>
      </c>
      <c r="J52" s="821"/>
      <c r="K52" s="821"/>
      <c r="L52" s="821"/>
      <c r="M52" s="821"/>
      <c r="N52" s="821"/>
      <c r="O52" s="821"/>
      <c r="P52" s="821"/>
      <c r="Q52" s="821"/>
      <c r="R52" s="821">
        <f t="shared" si="57"/>
        <v>4096.8</v>
      </c>
      <c r="S52" s="821"/>
      <c r="T52" s="821">
        <v>0.5</v>
      </c>
      <c r="U52" s="831"/>
      <c r="V52" s="824"/>
      <c r="W52" s="829"/>
      <c r="X52" s="770"/>
      <c r="Y52" s="824"/>
      <c r="Z52" s="821"/>
      <c r="AA52" s="821">
        <f t="shared" si="58"/>
        <v>1301.5999999999999</v>
      </c>
      <c r="AB52" s="821">
        <f>(R52+Z52+U52+W52)*T52+AA52</f>
        <v>3350</v>
      </c>
      <c r="AC52" s="825">
        <f t="shared" si="59"/>
        <v>0</v>
      </c>
      <c r="AD52" s="825">
        <f t="shared" si="60"/>
        <v>3350</v>
      </c>
      <c r="AE52" s="826">
        <f t="shared" si="61"/>
        <v>3350</v>
      </c>
      <c r="AF52" s="826">
        <f t="shared" si="62"/>
        <v>0</v>
      </c>
      <c r="AG52" s="827">
        <f>6700*T52</f>
        <v>3350</v>
      </c>
      <c r="AH52" s="826">
        <f>AG52-(R52*T52)</f>
        <v>1301.5999999999999</v>
      </c>
      <c r="AI52" s="828">
        <f t="shared" si="63"/>
        <v>0</v>
      </c>
      <c r="AJ52" s="828">
        <f t="shared" si="64"/>
        <v>1707</v>
      </c>
      <c r="AK52" s="828">
        <f t="shared" si="65"/>
        <v>0</v>
      </c>
      <c r="AL52" s="828">
        <f t="shared" si="66"/>
        <v>2048.4</v>
      </c>
      <c r="AM52" s="828">
        <f t="shared" si="67"/>
        <v>0</v>
      </c>
      <c r="AN52" s="828">
        <f t="shared" si="68"/>
        <v>341.40000000000009</v>
      </c>
      <c r="AO52" s="830">
        <f t="shared" si="69"/>
        <v>0</v>
      </c>
      <c r="AP52" s="830">
        <f t="shared" si="70"/>
        <v>0</v>
      </c>
      <c r="AQ52" s="830">
        <f t="shared" si="71"/>
        <v>1301.5999999999999</v>
      </c>
      <c r="AR52" s="830">
        <f t="shared" si="72"/>
        <v>0</v>
      </c>
      <c r="AS52" s="830">
        <f t="shared" si="73"/>
        <v>0</v>
      </c>
      <c r="AT52" s="835">
        <f t="shared" si="16"/>
        <v>0</v>
      </c>
      <c r="AU52" s="835">
        <f t="shared" si="17"/>
        <v>2048.4</v>
      </c>
      <c r="AV52" s="828"/>
      <c r="AW52" s="944">
        <f t="shared" si="74"/>
        <v>2048.4</v>
      </c>
    </row>
    <row r="53" spans="2:49" s="196" customFormat="1" ht="33">
      <c r="B53" s="770"/>
      <c r="C53" s="839" t="s">
        <v>798</v>
      </c>
      <c r="D53" s="820"/>
      <c r="E53" s="770"/>
      <c r="F53" s="770"/>
      <c r="G53" s="821"/>
      <c r="H53" s="824"/>
      <c r="I53" s="770"/>
      <c r="J53" s="821"/>
      <c r="K53" s="821"/>
      <c r="L53" s="821"/>
      <c r="M53" s="821"/>
      <c r="N53" s="821"/>
      <c r="O53" s="821"/>
      <c r="P53" s="821"/>
      <c r="Q53" s="821"/>
      <c r="R53" s="821"/>
      <c r="S53" s="821"/>
      <c r="T53" s="821"/>
      <c r="U53" s="831"/>
      <c r="V53" s="824"/>
      <c r="W53" s="829"/>
      <c r="X53" s="770"/>
      <c r="Y53" s="824"/>
      <c r="Z53" s="821"/>
      <c r="AA53" s="821"/>
      <c r="AB53" s="821"/>
      <c r="AC53" s="825"/>
      <c r="AD53" s="825"/>
      <c r="AE53" s="826"/>
      <c r="AF53" s="826"/>
      <c r="AG53" s="827"/>
      <c r="AH53" s="826"/>
      <c r="AI53" s="828"/>
      <c r="AJ53" s="828"/>
      <c r="AK53" s="828"/>
      <c r="AL53" s="828"/>
      <c r="AM53" s="828"/>
      <c r="AN53" s="828"/>
      <c r="AO53" s="830"/>
      <c r="AP53" s="830"/>
      <c r="AQ53" s="830"/>
      <c r="AR53" s="830"/>
      <c r="AS53" s="830"/>
      <c r="AT53" s="835"/>
      <c r="AU53" s="835"/>
      <c r="AV53" s="828"/>
      <c r="AW53" s="944"/>
    </row>
    <row r="54" spans="2:49" s="196" customFormat="1" ht="33">
      <c r="B54" s="770"/>
      <c r="C54" s="819" t="s">
        <v>1518</v>
      </c>
      <c r="D54" s="820" t="s">
        <v>1519</v>
      </c>
      <c r="E54" s="770" t="s">
        <v>1520</v>
      </c>
      <c r="F54" s="770">
        <v>5</v>
      </c>
      <c r="G54" s="821">
        <v>3934</v>
      </c>
      <c r="H54" s="821"/>
      <c r="I54" s="821"/>
      <c r="J54" s="831"/>
      <c r="K54" s="831"/>
      <c r="L54" s="831"/>
      <c r="M54" s="831"/>
      <c r="N54" s="831"/>
      <c r="O54" s="831"/>
      <c r="P54" s="831"/>
      <c r="Q54" s="831"/>
      <c r="R54" s="821">
        <f t="shared" si="57"/>
        <v>3934</v>
      </c>
      <c r="S54" s="821">
        <v>1</v>
      </c>
      <c r="T54" s="831"/>
      <c r="U54" s="831"/>
      <c r="V54" s="840">
        <v>0</v>
      </c>
      <c r="W54" s="841">
        <f>R54*V54</f>
        <v>0</v>
      </c>
      <c r="X54" s="770"/>
      <c r="Y54" s="824"/>
      <c r="Z54" s="821"/>
      <c r="AA54" s="821">
        <f t="shared" ref="AA54:AA62" si="75">AH54</f>
        <v>2766</v>
      </c>
      <c r="AB54" s="821">
        <f t="shared" ref="AB54:AB61" si="76">(R54+AA54)*S54</f>
        <v>6700</v>
      </c>
      <c r="AC54" s="825">
        <f t="shared" si="59"/>
        <v>0</v>
      </c>
      <c r="AD54" s="825">
        <f t="shared" ref="AD54:AD62" si="77">AB54+AC54</f>
        <v>6700</v>
      </c>
      <c r="AE54" s="826">
        <f t="shared" ref="AE54:AE62" si="78">AB54</f>
        <v>6700</v>
      </c>
      <c r="AF54" s="826">
        <f t="shared" si="62"/>
        <v>0</v>
      </c>
      <c r="AG54" s="827">
        <f>6700*S54</f>
        <v>6700</v>
      </c>
      <c r="AH54" s="826">
        <f t="shared" ref="AH54:AH62" si="79">AG54-(R54*S54)</f>
        <v>2766</v>
      </c>
      <c r="AI54" s="828">
        <f t="shared" si="63"/>
        <v>3934</v>
      </c>
      <c r="AJ54" s="828">
        <f t="shared" si="64"/>
        <v>0</v>
      </c>
      <c r="AK54" s="828">
        <f t="shared" si="65"/>
        <v>3934</v>
      </c>
      <c r="AL54" s="828">
        <f t="shared" si="66"/>
        <v>0</v>
      </c>
      <c r="AM54" s="828">
        <f t="shared" si="67"/>
        <v>0</v>
      </c>
      <c r="AN54" s="828">
        <f t="shared" si="68"/>
        <v>0</v>
      </c>
      <c r="AO54" s="830">
        <f t="shared" si="69"/>
        <v>0</v>
      </c>
      <c r="AP54" s="830">
        <f t="shared" si="70"/>
        <v>0</v>
      </c>
      <c r="AQ54" s="830">
        <f t="shared" si="71"/>
        <v>2766</v>
      </c>
      <c r="AR54" s="830">
        <f t="shared" si="72"/>
        <v>0</v>
      </c>
      <c r="AS54" s="830">
        <f t="shared" si="73"/>
        <v>0</v>
      </c>
      <c r="AT54" s="835">
        <f t="shared" si="16"/>
        <v>3934</v>
      </c>
      <c r="AU54" s="835">
        <f t="shared" si="17"/>
        <v>0</v>
      </c>
      <c r="AV54" s="828"/>
      <c r="AW54" s="944">
        <f t="shared" si="74"/>
        <v>3934</v>
      </c>
    </row>
    <row r="55" spans="2:49" s="196" customFormat="1" ht="33">
      <c r="B55" s="770"/>
      <c r="C55" s="819" t="s">
        <v>1518</v>
      </c>
      <c r="D55" s="820" t="s">
        <v>1519</v>
      </c>
      <c r="E55" s="770" t="s">
        <v>1521</v>
      </c>
      <c r="F55" s="770">
        <v>5</v>
      </c>
      <c r="G55" s="821">
        <v>3934</v>
      </c>
      <c r="H55" s="821"/>
      <c r="I55" s="821"/>
      <c r="J55" s="821"/>
      <c r="K55" s="821"/>
      <c r="L55" s="821"/>
      <c r="M55" s="821"/>
      <c r="N55" s="821"/>
      <c r="O55" s="821"/>
      <c r="P55" s="821"/>
      <c r="Q55" s="821"/>
      <c r="R55" s="821">
        <f t="shared" si="57"/>
        <v>3934</v>
      </c>
      <c r="S55" s="821">
        <v>1</v>
      </c>
      <c r="T55" s="831"/>
      <c r="U55" s="831"/>
      <c r="V55" s="840">
        <v>0</v>
      </c>
      <c r="W55" s="841">
        <f>R55*V55</f>
        <v>0</v>
      </c>
      <c r="X55" s="770"/>
      <c r="Y55" s="824"/>
      <c r="Z55" s="821"/>
      <c r="AA55" s="821">
        <f t="shared" si="75"/>
        <v>2766</v>
      </c>
      <c r="AB55" s="821">
        <f t="shared" si="76"/>
        <v>6700</v>
      </c>
      <c r="AC55" s="825">
        <f t="shared" si="59"/>
        <v>0</v>
      </c>
      <c r="AD55" s="825">
        <f t="shared" si="77"/>
        <v>6700</v>
      </c>
      <c r="AE55" s="826">
        <f t="shared" si="78"/>
        <v>6700</v>
      </c>
      <c r="AF55" s="826">
        <f t="shared" si="62"/>
        <v>0</v>
      </c>
      <c r="AG55" s="827">
        <f t="shared" ref="AG55:AG62" si="80">6700*S55</f>
        <v>6700</v>
      </c>
      <c r="AH55" s="826">
        <f t="shared" si="79"/>
        <v>2766</v>
      </c>
      <c r="AI55" s="828">
        <f t="shared" si="63"/>
        <v>3934</v>
      </c>
      <c r="AJ55" s="828">
        <f t="shared" si="64"/>
        <v>0</v>
      </c>
      <c r="AK55" s="828">
        <f t="shared" si="65"/>
        <v>3934</v>
      </c>
      <c r="AL55" s="828">
        <f t="shared" si="66"/>
        <v>0</v>
      </c>
      <c r="AM55" s="828">
        <f t="shared" si="67"/>
        <v>0</v>
      </c>
      <c r="AN55" s="828">
        <f t="shared" si="68"/>
        <v>0</v>
      </c>
      <c r="AO55" s="830">
        <f t="shared" si="69"/>
        <v>0</v>
      </c>
      <c r="AP55" s="830">
        <f t="shared" si="70"/>
        <v>0</v>
      </c>
      <c r="AQ55" s="830">
        <f t="shared" si="71"/>
        <v>2766</v>
      </c>
      <c r="AR55" s="830">
        <f t="shared" si="72"/>
        <v>0</v>
      </c>
      <c r="AS55" s="830">
        <f t="shared" si="73"/>
        <v>0</v>
      </c>
      <c r="AT55" s="835">
        <f t="shared" si="16"/>
        <v>3934</v>
      </c>
      <c r="AU55" s="835">
        <f t="shared" si="17"/>
        <v>0</v>
      </c>
      <c r="AV55" s="828"/>
      <c r="AW55" s="944">
        <f t="shared" si="74"/>
        <v>3934</v>
      </c>
    </row>
    <row r="56" spans="2:49" s="196" customFormat="1" ht="33">
      <c r="B56" s="770"/>
      <c r="C56" s="819" t="s">
        <v>1522</v>
      </c>
      <c r="D56" s="820"/>
      <c r="E56" s="770" t="s">
        <v>1523</v>
      </c>
      <c r="F56" s="770">
        <v>2</v>
      </c>
      <c r="G56" s="821">
        <v>3153</v>
      </c>
      <c r="H56" s="821"/>
      <c r="I56" s="821"/>
      <c r="J56" s="821"/>
      <c r="K56" s="821"/>
      <c r="L56" s="821"/>
      <c r="M56" s="821"/>
      <c r="N56" s="821"/>
      <c r="O56" s="821"/>
      <c r="P56" s="821"/>
      <c r="Q56" s="821"/>
      <c r="R56" s="821">
        <f t="shared" si="57"/>
        <v>3153</v>
      </c>
      <c r="S56" s="821">
        <v>1</v>
      </c>
      <c r="T56" s="831"/>
      <c r="U56" s="831"/>
      <c r="V56" s="831"/>
      <c r="W56" s="831"/>
      <c r="X56" s="770"/>
      <c r="Y56" s="824"/>
      <c r="Z56" s="821"/>
      <c r="AA56" s="821">
        <f t="shared" si="75"/>
        <v>3547</v>
      </c>
      <c r="AB56" s="821">
        <f t="shared" si="76"/>
        <v>6700</v>
      </c>
      <c r="AC56" s="825">
        <f t="shared" si="59"/>
        <v>0</v>
      </c>
      <c r="AD56" s="825">
        <f t="shared" si="77"/>
        <v>6700</v>
      </c>
      <c r="AE56" s="826">
        <f t="shared" si="78"/>
        <v>6700</v>
      </c>
      <c r="AF56" s="826">
        <f t="shared" si="62"/>
        <v>0</v>
      </c>
      <c r="AG56" s="827">
        <f t="shared" si="80"/>
        <v>6700</v>
      </c>
      <c r="AH56" s="826">
        <f t="shared" si="79"/>
        <v>3547</v>
      </c>
      <c r="AI56" s="828">
        <f t="shared" si="63"/>
        <v>3153</v>
      </c>
      <c r="AJ56" s="828">
        <f t="shared" si="64"/>
        <v>0</v>
      </c>
      <c r="AK56" s="828">
        <f t="shared" si="65"/>
        <v>3153</v>
      </c>
      <c r="AL56" s="828">
        <f t="shared" si="66"/>
        <v>0</v>
      </c>
      <c r="AM56" s="828">
        <f t="shared" si="67"/>
        <v>0</v>
      </c>
      <c r="AN56" s="828">
        <f t="shared" si="68"/>
        <v>0</v>
      </c>
      <c r="AO56" s="830">
        <f t="shared" si="69"/>
        <v>0</v>
      </c>
      <c r="AP56" s="830">
        <f t="shared" si="70"/>
        <v>0</v>
      </c>
      <c r="AQ56" s="830">
        <f t="shared" si="71"/>
        <v>3547</v>
      </c>
      <c r="AR56" s="830">
        <f t="shared" si="72"/>
        <v>0</v>
      </c>
      <c r="AS56" s="830">
        <f t="shared" si="73"/>
        <v>0</v>
      </c>
      <c r="AT56" s="835">
        <f t="shared" si="16"/>
        <v>3153</v>
      </c>
      <c r="AU56" s="835">
        <f t="shared" si="17"/>
        <v>0</v>
      </c>
      <c r="AV56" s="828"/>
      <c r="AW56" s="944">
        <f t="shared" si="74"/>
        <v>3153</v>
      </c>
    </row>
    <row r="57" spans="2:49" s="196" customFormat="1" ht="33">
      <c r="B57" s="770"/>
      <c r="C57" s="819" t="s">
        <v>1522</v>
      </c>
      <c r="D57" s="820"/>
      <c r="E57" s="770" t="s">
        <v>1524</v>
      </c>
      <c r="F57" s="770">
        <v>2</v>
      </c>
      <c r="G57" s="821">
        <v>3153</v>
      </c>
      <c r="H57" s="821"/>
      <c r="I57" s="821"/>
      <c r="J57" s="821"/>
      <c r="K57" s="821"/>
      <c r="L57" s="821"/>
      <c r="M57" s="821"/>
      <c r="N57" s="821"/>
      <c r="O57" s="821"/>
      <c r="P57" s="821"/>
      <c r="Q57" s="821"/>
      <c r="R57" s="821">
        <f t="shared" si="57"/>
        <v>3153</v>
      </c>
      <c r="S57" s="821">
        <v>1</v>
      </c>
      <c r="T57" s="831"/>
      <c r="U57" s="831"/>
      <c r="V57" s="831"/>
      <c r="W57" s="831"/>
      <c r="X57" s="770"/>
      <c r="Y57" s="824"/>
      <c r="Z57" s="821"/>
      <c r="AA57" s="821">
        <f t="shared" si="75"/>
        <v>3547</v>
      </c>
      <c r="AB57" s="821">
        <f t="shared" si="76"/>
        <v>6700</v>
      </c>
      <c r="AC57" s="825">
        <f t="shared" si="59"/>
        <v>0</v>
      </c>
      <c r="AD57" s="825">
        <f t="shared" si="77"/>
        <v>6700</v>
      </c>
      <c r="AE57" s="826">
        <f t="shared" si="78"/>
        <v>6700</v>
      </c>
      <c r="AF57" s="826">
        <f t="shared" si="62"/>
        <v>0</v>
      </c>
      <c r="AG57" s="827">
        <f t="shared" si="80"/>
        <v>6700</v>
      </c>
      <c r="AH57" s="826">
        <f t="shared" si="79"/>
        <v>3547</v>
      </c>
      <c r="AI57" s="828">
        <f t="shared" si="63"/>
        <v>3153</v>
      </c>
      <c r="AJ57" s="828">
        <f t="shared" si="64"/>
        <v>0</v>
      </c>
      <c r="AK57" s="828">
        <f t="shared" si="65"/>
        <v>3153</v>
      </c>
      <c r="AL57" s="828">
        <f t="shared" si="66"/>
        <v>0</v>
      </c>
      <c r="AM57" s="828">
        <f t="shared" si="67"/>
        <v>0</v>
      </c>
      <c r="AN57" s="828">
        <f t="shared" si="68"/>
        <v>0</v>
      </c>
      <c r="AO57" s="830">
        <f t="shared" si="69"/>
        <v>0</v>
      </c>
      <c r="AP57" s="830">
        <f t="shared" si="70"/>
        <v>0</v>
      </c>
      <c r="AQ57" s="830">
        <f t="shared" si="71"/>
        <v>3547</v>
      </c>
      <c r="AR57" s="830">
        <f t="shared" si="72"/>
        <v>0</v>
      </c>
      <c r="AS57" s="830">
        <f t="shared" si="73"/>
        <v>0</v>
      </c>
      <c r="AT57" s="835">
        <f t="shared" si="16"/>
        <v>3153</v>
      </c>
      <c r="AU57" s="835">
        <f t="shared" si="17"/>
        <v>0</v>
      </c>
      <c r="AV57" s="828"/>
      <c r="AW57" s="944">
        <f t="shared" si="74"/>
        <v>3153</v>
      </c>
    </row>
    <row r="58" spans="2:49" s="196" customFormat="1" ht="33">
      <c r="B58" s="770"/>
      <c r="C58" s="839" t="s">
        <v>799</v>
      </c>
      <c r="D58" s="820"/>
      <c r="E58" s="770"/>
      <c r="F58" s="770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31"/>
      <c r="U58" s="831"/>
      <c r="V58" s="831"/>
      <c r="W58" s="831"/>
      <c r="X58" s="770"/>
      <c r="Y58" s="824"/>
      <c r="Z58" s="821"/>
      <c r="AA58" s="821"/>
      <c r="AB58" s="821"/>
      <c r="AC58" s="825"/>
      <c r="AD58" s="825"/>
      <c r="AE58" s="826"/>
      <c r="AF58" s="826"/>
      <c r="AG58" s="827"/>
      <c r="AH58" s="826"/>
      <c r="AI58" s="828"/>
      <c r="AJ58" s="828"/>
      <c r="AK58" s="828"/>
      <c r="AL58" s="828"/>
      <c r="AM58" s="828"/>
      <c r="AN58" s="828"/>
      <c r="AO58" s="830"/>
      <c r="AP58" s="830"/>
      <c r="AQ58" s="830"/>
      <c r="AR58" s="830"/>
      <c r="AS58" s="830"/>
      <c r="AT58" s="835"/>
      <c r="AU58" s="835"/>
      <c r="AV58" s="828"/>
      <c r="AW58" s="944"/>
    </row>
    <row r="59" spans="2:49" s="200" customFormat="1" ht="33">
      <c r="B59" s="770"/>
      <c r="C59" s="837" t="s">
        <v>1498</v>
      </c>
      <c r="D59" s="820" t="s">
        <v>1499</v>
      </c>
      <c r="E59" s="831" t="s">
        <v>1500</v>
      </c>
      <c r="F59" s="770">
        <v>9</v>
      </c>
      <c r="G59" s="821">
        <v>5005</v>
      </c>
      <c r="H59" s="821"/>
      <c r="I59" s="821"/>
      <c r="J59" s="821"/>
      <c r="K59" s="821"/>
      <c r="L59" s="821"/>
      <c r="M59" s="821"/>
      <c r="N59" s="821"/>
      <c r="O59" s="821"/>
      <c r="P59" s="821"/>
      <c r="Q59" s="821"/>
      <c r="R59" s="821">
        <f t="shared" si="57"/>
        <v>5005</v>
      </c>
      <c r="S59" s="821">
        <v>1</v>
      </c>
      <c r="T59" s="831"/>
      <c r="U59" s="831"/>
      <c r="V59" s="831"/>
      <c r="W59" s="831"/>
      <c r="X59" s="770"/>
      <c r="Y59" s="824"/>
      <c r="Z59" s="821"/>
      <c r="AA59" s="821">
        <f t="shared" si="75"/>
        <v>1695</v>
      </c>
      <c r="AB59" s="821">
        <f t="shared" si="76"/>
        <v>6700</v>
      </c>
      <c r="AC59" s="825">
        <f t="shared" si="59"/>
        <v>0</v>
      </c>
      <c r="AD59" s="825">
        <f t="shared" si="77"/>
        <v>6700</v>
      </c>
      <c r="AE59" s="826">
        <f t="shared" si="78"/>
        <v>6700</v>
      </c>
      <c r="AF59" s="826">
        <f t="shared" si="62"/>
        <v>0</v>
      </c>
      <c r="AG59" s="827">
        <f t="shared" si="80"/>
        <v>6700</v>
      </c>
      <c r="AH59" s="826">
        <f t="shared" si="79"/>
        <v>1695</v>
      </c>
      <c r="AI59" s="828">
        <f t="shared" si="63"/>
        <v>5005</v>
      </c>
      <c r="AJ59" s="828">
        <f t="shared" si="64"/>
        <v>0</v>
      </c>
      <c r="AK59" s="828">
        <f t="shared" si="65"/>
        <v>5005</v>
      </c>
      <c r="AL59" s="828">
        <f t="shared" si="66"/>
        <v>0</v>
      </c>
      <c r="AM59" s="828">
        <f t="shared" si="67"/>
        <v>0</v>
      </c>
      <c r="AN59" s="828">
        <f t="shared" si="68"/>
        <v>0</v>
      </c>
      <c r="AO59" s="830">
        <f t="shared" si="69"/>
        <v>0</v>
      </c>
      <c r="AP59" s="830">
        <f t="shared" si="70"/>
        <v>0</v>
      </c>
      <c r="AQ59" s="830">
        <f t="shared" si="71"/>
        <v>1695</v>
      </c>
      <c r="AR59" s="830">
        <f t="shared" si="72"/>
        <v>0</v>
      </c>
      <c r="AS59" s="830">
        <f t="shared" si="73"/>
        <v>0</v>
      </c>
      <c r="AT59" s="835">
        <f t="shared" si="16"/>
        <v>5005</v>
      </c>
      <c r="AU59" s="835">
        <f t="shared" si="17"/>
        <v>0</v>
      </c>
      <c r="AV59" s="828"/>
      <c r="AW59" s="944">
        <f t="shared" si="74"/>
        <v>5005</v>
      </c>
    </row>
    <row r="60" spans="2:49" s="196" customFormat="1" ht="63">
      <c r="B60" s="770"/>
      <c r="C60" s="837" t="s">
        <v>1536</v>
      </c>
      <c r="D60" s="820"/>
      <c r="E60" s="831" t="s">
        <v>1537</v>
      </c>
      <c r="F60" s="831">
        <v>4</v>
      </c>
      <c r="G60" s="821">
        <v>3674</v>
      </c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>
        <f>G60+I60+K60+L60+N60+P60+Q60</f>
        <v>3674</v>
      </c>
      <c r="S60" s="821">
        <v>1</v>
      </c>
      <c r="T60" s="831"/>
      <c r="U60" s="831"/>
      <c r="V60" s="831"/>
      <c r="W60" s="831"/>
      <c r="X60" s="770"/>
      <c r="Y60" s="824"/>
      <c r="Z60" s="821"/>
      <c r="AA60" s="821">
        <f>AH60</f>
        <v>3026</v>
      </c>
      <c r="AB60" s="821">
        <f>(R60+AA60)*S60</f>
        <v>6700</v>
      </c>
      <c r="AC60" s="825">
        <f>AF60</f>
        <v>0</v>
      </c>
      <c r="AD60" s="825">
        <f>AB60+AC60</f>
        <v>6700</v>
      </c>
      <c r="AE60" s="826">
        <f>AB60</f>
        <v>6700</v>
      </c>
      <c r="AF60" s="826">
        <f>AE60-AB60</f>
        <v>0</v>
      </c>
      <c r="AG60" s="827">
        <f>6700*S60</f>
        <v>6700</v>
      </c>
      <c r="AH60" s="826">
        <f>AG60-(R60*S60)</f>
        <v>3026</v>
      </c>
      <c r="AI60" s="828">
        <f>G60*S60</f>
        <v>3674</v>
      </c>
      <c r="AJ60" s="828">
        <f>G60*T60</f>
        <v>0</v>
      </c>
      <c r="AK60" s="828">
        <f>R60*S60</f>
        <v>3674</v>
      </c>
      <c r="AL60" s="828">
        <f>R60*T60</f>
        <v>0</v>
      </c>
      <c r="AM60" s="828">
        <f>AK60-AI60</f>
        <v>0</v>
      </c>
      <c r="AN60" s="828">
        <f>AL60-AJ60</f>
        <v>0</v>
      </c>
      <c r="AO60" s="830">
        <f>Z60*S60</f>
        <v>0</v>
      </c>
      <c r="AP60" s="830">
        <f>Z60*T60</f>
        <v>0</v>
      </c>
      <c r="AQ60" s="830">
        <f>AA60</f>
        <v>3026</v>
      </c>
      <c r="AR60" s="830">
        <f>W60*S60</f>
        <v>0</v>
      </c>
      <c r="AS60" s="830">
        <f>W60*T60</f>
        <v>0</v>
      </c>
      <c r="AT60" s="835">
        <f t="shared" si="16"/>
        <v>3674</v>
      </c>
      <c r="AU60" s="835">
        <f t="shared" si="17"/>
        <v>0</v>
      </c>
      <c r="AV60" s="828"/>
      <c r="AW60" s="944">
        <f>AT60+AU60-AV60</f>
        <v>3674</v>
      </c>
    </row>
    <row r="61" spans="2:49" s="198" customFormat="1" ht="33">
      <c r="B61" s="770"/>
      <c r="C61" s="837" t="s">
        <v>1525</v>
      </c>
      <c r="D61" s="838"/>
      <c r="E61" s="831" t="s">
        <v>1526</v>
      </c>
      <c r="F61" s="831">
        <v>1</v>
      </c>
      <c r="G61" s="821">
        <v>2893</v>
      </c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>
        <f t="shared" si="57"/>
        <v>2893</v>
      </c>
      <c r="S61" s="821">
        <f>0.5+0.5</f>
        <v>1</v>
      </c>
      <c r="T61" s="831"/>
      <c r="U61" s="831"/>
      <c r="V61" s="831"/>
      <c r="W61" s="831"/>
      <c r="X61" s="770"/>
      <c r="Y61" s="824"/>
      <c r="Z61" s="821"/>
      <c r="AA61" s="821">
        <f t="shared" si="75"/>
        <v>3807</v>
      </c>
      <c r="AB61" s="821">
        <f t="shared" si="76"/>
        <v>6700</v>
      </c>
      <c r="AC61" s="825">
        <f t="shared" si="59"/>
        <v>0</v>
      </c>
      <c r="AD61" s="825">
        <f t="shared" si="77"/>
        <v>6700</v>
      </c>
      <c r="AE61" s="826">
        <f t="shared" si="78"/>
        <v>6700</v>
      </c>
      <c r="AF61" s="826">
        <f t="shared" si="62"/>
        <v>0</v>
      </c>
      <c r="AG61" s="827">
        <f t="shared" si="80"/>
        <v>6700</v>
      </c>
      <c r="AH61" s="826">
        <f t="shared" si="79"/>
        <v>3807</v>
      </c>
      <c r="AI61" s="828">
        <f t="shared" si="63"/>
        <v>2893</v>
      </c>
      <c r="AJ61" s="828">
        <f t="shared" si="64"/>
        <v>0</v>
      </c>
      <c r="AK61" s="828">
        <f t="shared" si="65"/>
        <v>2893</v>
      </c>
      <c r="AL61" s="828">
        <f t="shared" si="66"/>
        <v>0</v>
      </c>
      <c r="AM61" s="828">
        <f t="shared" si="67"/>
        <v>0</v>
      </c>
      <c r="AN61" s="828">
        <f t="shared" si="68"/>
        <v>0</v>
      </c>
      <c r="AO61" s="830">
        <f t="shared" si="69"/>
        <v>0</v>
      </c>
      <c r="AP61" s="830">
        <f t="shared" si="70"/>
        <v>0</v>
      </c>
      <c r="AQ61" s="830">
        <f t="shared" si="71"/>
        <v>3807</v>
      </c>
      <c r="AR61" s="830">
        <f t="shared" si="72"/>
        <v>0</v>
      </c>
      <c r="AS61" s="830">
        <f t="shared" si="73"/>
        <v>0</v>
      </c>
      <c r="AT61" s="835">
        <f t="shared" si="16"/>
        <v>2893</v>
      </c>
      <c r="AU61" s="835">
        <f t="shared" si="17"/>
        <v>0</v>
      </c>
      <c r="AV61" s="828"/>
      <c r="AW61" s="944">
        <f t="shared" si="74"/>
        <v>2893</v>
      </c>
    </row>
    <row r="62" spans="2:49" s="199" customFormat="1" ht="33">
      <c r="B62" s="770"/>
      <c r="C62" s="837" t="s">
        <v>1527</v>
      </c>
      <c r="D62" s="820" t="s">
        <v>1528</v>
      </c>
      <c r="E62" s="831" t="s">
        <v>1529</v>
      </c>
      <c r="F62" s="770">
        <v>5</v>
      </c>
      <c r="G62" s="821">
        <v>3934</v>
      </c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21">
        <f t="shared" si="57"/>
        <v>3934</v>
      </c>
      <c r="S62" s="821">
        <v>0.5</v>
      </c>
      <c r="T62" s="831"/>
      <c r="U62" s="831"/>
      <c r="V62" s="831"/>
      <c r="W62" s="831"/>
      <c r="X62" s="770"/>
      <c r="Y62" s="824"/>
      <c r="Z62" s="821"/>
      <c r="AA62" s="821">
        <f t="shared" si="75"/>
        <v>1383</v>
      </c>
      <c r="AB62" s="821">
        <f>(R62+Z62+U62+W62)*S62+AA62</f>
        <v>3350</v>
      </c>
      <c r="AC62" s="825">
        <f t="shared" si="59"/>
        <v>0</v>
      </c>
      <c r="AD62" s="825">
        <f t="shared" si="77"/>
        <v>3350</v>
      </c>
      <c r="AE62" s="826">
        <f t="shared" si="78"/>
        <v>3350</v>
      </c>
      <c r="AF62" s="826">
        <f t="shared" si="62"/>
        <v>0</v>
      </c>
      <c r="AG62" s="827">
        <f t="shared" si="80"/>
        <v>3350</v>
      </c>
      <c r="AH62" s="826">
        <f t="shared" si="79"/>
        <v>1383</v>
      </c>
      <c r="AI62" s="828">
        <f t="shared" si="63"/>
        <v>1967</v>
      </c>
      <c r="AJ62" s="828">
        <f t="shared" si="64"/>
        <v>0</v>
      </c>
      <c r="AK62" s="828">
        <f t="shared" si="65"/>
        <v>1967</v>
      </c>
      <c r="AL62" s="828">
        <f t="shared" si="66"/>
        <v>0</v>
      </c>
      <c r="AM62" s="828">
        <f t="shared" si="67"/>
        <v>0</v>
      </c>
      <c r="AN62" s="828">
        <f t="shared" si="68"/>
        <v>0</v>
      </c>
      <c r="AO62" s="830">
        <f t="shared" si="69"/>
        <v>0</v>
      </c>
      <c r="AP62" s="830">
        <f t="shared" si="70"/>
        <v>0</v>
      </c>
      <c r="AQ62" s="830">
        <f t="shared" si="71"/>
        <v>1383</v>
      </c>
      <c r="AR62" s="830">
        <f t="shared" si="72"/>
        <v>0</v>
      </c>
      <c r="AS62" s="830">
        <f t="shared" si="73"/>
        <v>0</v>
      </c>
      <c r="AT62" s="835">
        <f t="shared" si="16"/>
        <v>1967</v>
      </c>
      <c r="AU62" s="835">
        <f t="shared" si="17"/>
        <v>0</v>
      </c>
      <c r="AV62" s="828"/>
      <c r="AW62" s="944">
        <f t="shared" si="74"/>
        <v>1967</v>
      </c>
    </row>
    <row r="63" spans="2:49" s="196" customFormat="1" ht="63">
      <c r="B63" s="770"/>
      <c r="C63" s="819" t="s">
        <v>1516</v>
      </c>
      <c r="D63" s="820"/>
      <c r="E63" s="770" t="s">
        <v>1517</v>
      </c>
      <c r="F63" s="770">
        <v>5</v>
      </c>
      <c r="G63" s="821">
        <v>3934</v>
      </c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>
        <f t="shared" si="57"/>
        <v>3934</v>
      </c>
      <c r="S63" s="821">
        <v>1</v>
      </c>
      <c r="T63" s="831"/>
      <c r="U63" s="831"/>
      <c r="V63" s="831"/>
      <c r="W63" s="831"/>
      <c r="X63" s="770"/>
      <c r="Y63" s="824"/>
      <c r="Z63" s="821"/>
      <c r="AA63" s="821">
        <f>AH63</f>
        <v>2766</v>
      </c>
      <c r="AB63" s="821">
        <f>(R63+AA63)*S63</f>
        <v>6700</v>
      </c>
      <c r="AC63" s="825">
        <f t="shared" si="59"/>
        <v>0</v>
      </c>
      <c r="AD63" s="825">
        <f t="shared" si="60"/>
        <v>6700</v>
      </c>
      <c r="AE63" s="826">
        <f t="shared" si="61"/>
        <v>6700</v>
      </c>
      <c r="AF63" s="826">
        <f t="shared" si="62"/>
        <v>0</v>
      </c>
      <c r="AG63" s="827">
        <f>6700*S63</f>
        <v>6700</v>
      </c>
      <c r="AH63" s="826">
        <f>AG63-(R63*S63)</f>
        <v>2766</v>
      </c>
      <c r="AI63" s="828">
        <f t="shared" si="63"/>
        <v>3934</v>
      </c>
      <c r="AJ63" s="828">
        <f t="shared" si="64"/>
        <v>0</v>
      </c>
      <c r="AK63" s="828">
        <f t="shared" si="65"/>
        <v>3934</v>
      </c>
      <c r="AL63" s="828">
        <f t="shared" si="66"/>
        <v>0</v>
      </c>
      <c r="AM63" s="828">
        <f t="shared" si="67"/>
        <v>0</v>
      </c>
      <c r="AN63" s="828">
        <f t="shared" si="68"/>
        <v>0</v>
      </c>
      <c r="AO63" s="830">
        <f t="shared" si="69"/>
        <v>0</v>
      </c>
      <c r="AP63" s="830">
        <f t="shared" si="70"/>
        <v>0</v>
      </c>
      <c r="AQ63" s="830">
        <f t="shared" si="71"/>
        <v>2766</v>
      </c>
      <c r="AR63" s="830">
        <f t="shared" si="72"/>
        <v>0</v>
      </c>
      <c r="AS63" s="830">
        <f t="shared" si="73"/>
        <v>0</v>
      </c>
      <c r="AT63" s="835">
        <f t="shared" si="16"/>
        <v>3934</v>
      </c>
      <c r="AU63" s="835">
        <f t="shared" si="17"/>
        <v>0</v>
      </c>
      <c r="AV63" s="828"/>
      <c r="AW63" s="944">
        <f t="shared" si="74"/>
        <v>3934</v>
      </c>
    </row>
    <row r="64" spans="2:49" s="196" customFormat="1" ht="63">
      <c r="B64" s="770"/>
      <c r="C64" s="819" t="s">
        <v>1516</v>
      </c>
      <c r="D64" s="820"/>
      <c r="E64" s="770" t="s">
        <v>602</v>
      </c>
      <c r="F64" s="770">
        <v>5</v>
      </c>
      <c r="G64" s="821">
        <v>3934</v>
      </c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>
        <f>G64+I64+K64+L64+N64+P64+Q64</f>
        <v>3934</v>
      </c>
      <c r="S64" s="821"/>
      <c r="T64" s="831">
        <v>0.5</v>
      </c>
      <c r="U64" s="831"/>
      <c r="V64" s="831"/>
      <c r="W64" s="831"/>
      <c r="X64" s="770"/>
      <c r="Y64" s="824"/>
      <c r="Z64" s="821"/>
      <c r="AA64" s="821">
        <f>AH64</f>
        <v>1383</v>
      </c>
      <c r="AB64" s="821">
        <f>(R64+Z64+U64+W64)*T64+AA64</f>
        <v>3350</v>
      </c>
      <c r="AC64" s="825">
        <f>AF64</f>
        <v>0</v>
      </c>
      <c r="AD64" s="825">
        <f t="shared" si="60"/>
        <v>3350</v>
      </c>
      <c r="AE64" s="826">
        <f t="shared" si="61"/>
        <v>3350</v>
      </c>
      <c r="AF64" s="826">
        <f>AE64-AB64</f>
        <v>0</v>
      </c>
      <c r="AG64" s="827">
        <f>6700*T64</f>
        <v>3350</v>
      </c>
      <c r="AH64" s="826">
        <f>AG64-(R64*T64)</f>
        <v>1383</v>
      </c>
      <c r="AI64" s="828">
        <f>G64*S64</f>
        <v>0</v>
      </c>
      <c r="AJ64" s="828">
        <f>G64*T64</f>
        <v>1967</v>
      </c>
      <c r="AK64" s="828">
        <f>R64*S64</f>
        <v>0</v>
      </c>
      <c r="AL64" s="828">
        <f>R64*T64</f>
        <v>1967</v>
      </c>
      <c r="AM64" s="828">
        <f>AK64-AI64</f>
        <v>0</v>
      </c>
      <c r="AN64" s="828">
        <f>AL64-AJ64</f>
        <v>0</v>
      </c>
      <c r="AO64" s="830">
        <f>Z64*S64</f>
        <v>0</v>
      </c>
      <c r="AP64" s="830">
        <f>Z64*T64</f>
        <v>0</v>
      </c>
      <c r="AQ64" s="830">
        <f>AA64</f>
        <v>1383</v>
      </c>
      <c r="AR64" s="830">
        <f>W64*S64</f>
        <v>0</v>
      </c>
      <c r="AS64" s="830">
        <f>W64*T64</f>
        <v>0</v>
      </c>
      <c r="AT64" s="835">
        <f t="shared" si="16"/>
        <v>0</v>
      </c>
      <c r="AU64" s="835">
        <f t="shared" si="17"/>
        <v>1967</v>
      </c>
      <c r="AV64" s="828"/>
      <c r="AW64" s="944">
        <f>AT64+AU64-AV64</f>
        <v>1967</v>
      </c>
    </row>
    <row r="65" spans="2:49" s="196" customFormat="1" ht="33">
      <c r="B65" s="770"/>
      <c r="C65" s="819" t="s">
        <v>1530</v>
      </c>
      <c r="D65" s="820"/>
      <c r="E65" s="770" t="s">
        <v>603</v>
      </c>
      <c r="F65" s="770">
        <v>3</v>
      </c>
      <c r="G65" s="821">
        <v>3414</v>
      </c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>
        <f t="shared" ref="R65:R71" si="81">G65+I65+K65+L65+N65+P65+Q65</f>
        <v>3414</v>
      </c>
      <c r="S65" s="821">
        <v>1</v>
      </c>
      <c r="T65" s="831"/>
      <c r="U65" s="831"/>
      <c r="V65" s="831"/>
      <c r="W65" s="831"/>
      <c r="X65" s="770"/>
      <c r="Y65" s="824"/>
      <c r="Z65" s="821"/>
      <c r="AA65" s="821">
        <f>AH65</f>
        <v>3286</v>
      </c>
      <c r="AB65" s="821">
        <f>(R65+AA65)*S65</f>
        <v>6700</v>
      </c>
      <c r="AC65" s="825">
        <f t="shared" ref="AC65:AC71" si="82">AF65</f>
        <v>0</v>
      </c>
      <c r="AD65" s="825">
        <f t="shared" si="60"/>
        <v>6700</v>
      </c>
      <c r="AE65" s="826">
        <f t="shared" si="61"/>
        <v>6700</v>
      </c>
      <c r="AF65" s="826">
        <f t="shared" ref="AF65:AF71" si="83">AE65-AB65</f>
        <v>0</v>
      </c>
      <c r="AG65" s="827">
        <f t="shared" ref="AG65:AG72" si="84">6700*S65</f>
        <v>6700</v>
      </c>
      <c r="AH65" s="826">
        <f t="shared" ref="AH65:AH71" si="85">AG65-(R65*S65)</f>
        <v>3286</v>
      </c>
      <c r="AI65" s="828">
        <f t="shared" ref="AI65:AI71" si="86">G65*S65</f>
        <v>3414</v>
      </c>
      <c r="AJ65" s="828">
        <f t="shared" ref="AJ65:AJ71" si="87">G65*T65</f>
        <v>0</v>
      </c>
      <c r="AK65" s="828">
        <f t="shared" ref="AK65:AK71" si="88">R65*S65</f>
        <v>3414</v>
      </c>
      <c r="AL65" s="828">
        <f t="shared" ref="AL65:AL71" si="89">R65*T65</f>
        <v>0</v>
      </c>
      <c r="AM65" s="828">
        <f t="shared" ref="AM65:AM71" si="90">AK65-AI65</f>
        <v>0</v>
      </c>
      <c r="AN65" s="828">
        <f t="shared" ref="AN65:AN71" si="91">AL65-AJ65</f>
        <v>0</v>
      </c>
      <c r="AO65" s="830">
        <f t="shared" ref="AO65:AO71" si="92">Z65*S65</f>
        <v>0</v>
      </c>
      <c r="AP65" s="830">
        <f t="shared" ref="AP65:AP71" si="93">Z65*T65</f>
        <v>0</v>
      </c>
      <c r="AQ65" s="830">
        <f t="shared" ref="AQ65:AQ71" si="94">AA65</f>
        <v>3286</v>
      </c>
      <c r="AR65" s="830">
        <f>W65*S65</f>
        <v>0</v>
      </c>
      <c r="AS65" s="830">
        <f>W65*T65</f>
        <v>0</v>
      </c>
      <c r="AT65" s="835">
        <f t="shared" si="16"/>
        <v>3414</v>
      </c>
      <c r="AU65" s="835">
        <f t="shared" si="17"/>
        <v>0</v>
      </c>
      <c r="AV65" s="828"/>
      <c r="AW65" s="944">
        <f t="shared" ref="AW65:AW71" si="95">AT65+AU65-AV65</f>
        <v>3414</v>
      </c>
    </row>
    <row r="66" spans="2:49" s="196" customFormat="1" ht="33">
      <c r="B66" s="770"/>
      <c r="C66" s="839" t="s">
        <v>800</v>
      </c>
      <c r="D66" s="820"/>
      <c r="E66" s="770"/>
      <c r="F66" s="770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31"/>
      <c r="U66" s="831"/>
      <c r="V66" s="831"/>
      <c r="W66" s="831"/>
      <c r="X66" s="770"/>
      <c r="Y66" s="824"/>
      <c r="Z66" s="821"/>
      <c r="AA66" s="821"/>
      <c r="AB66" s="821"/>
      <c r="AC66" s="825"/>
      <c r="AD66" s="825"/>
      <c r="AE66" s="826"/>
      <c r="AF66" s="826"/>
      <c r="AG66" s="827"/>
      <c r="AH66" s="826"/>
      <c r="AI66" s="828"/>
      <c r="AJ66" s="828"/>
      <c r="AK66" s="828"/>
      <c r="AL66" s="828"/>
      <c r="AM66" s="828"/>
      <c r="AN66" s="828"/>
      <c r="AO66" s="830"/>
      <c r="AP66" s="830"/>
      <c r="AQ66" s="830"/>
      <c r="AR66" s="830"/>
      <c r="AS66" s="830"/>
      <c r="AT66" s="835"/>
      <c r="AU66" s="835"/>
      <c r="AV66" s="828"/>
      <c r="AW66" s="944"/>
    </row>
    <row r="67" spans="2:49" s="196" customFormat="1" ht="33">
      <c r="B67" s="770"/>
      <c r="C67" s="837" t="s">
        <v>1531</v>
      </c>
      <c r="D67" s="820"/>
      <c r="E67" s="831" t="s">
        <v>1691</v>
      </c>
      <c r="F67" s="831">
        <v>1</v>
      </c>
      <c r="G67" s="821">
        <v>2893</v>
      </c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>
        <f t="shared" si="81"/>
        <v>2893</v>
      </c>
      <c r="S67" s="821">
        <v>1</v>
      </c>
      <c r="T67" s="831"/>
      <c r="U67" s="831"/>
      <c r="V67" s="824">
        <v>0.1</v>
      </c>
      <c r="W67" s="821">
        <f>R67*V67</f>
        <v>289.3</v>
      </c>
      <c r="X67" s="770"/>
      <c r="Y67" s="824"/>
      <c r="Z67" s="821"/>
      <c r="AA67" s="821">
        <f t="shared" ref="AA67:AA72" si="96">AH67</f>
        <v>3807</v>
      </c>
      <c r="AB67" s="821">
        <f>(R67+AA67)*S67+W67</f>
        <v>6989.3</v>
      </c>
      <c r="AC67" s="825">
        <f t="shared" si="82"/>
        <v>0</v>
      </c>
      <c r="AD67" s="825">
        <f t="shared" si="60"/>
        <v>6989.3</v>
      </c>
      <c r="AE67" s="826">
        <f t="shared" si="61"/>
        <v>6989.3</v>
      </c>
      <c r="AF67" s="826">
        <f t="shared" si="83"/>
        <v>0</v>
      </c>
      <c r="AG67" s="827">
        <f t="shared" si="84"/>
        <v>6700</v>
      </c>
      <c r="AH67" s="826">
        <f t="shared" si="85"/>
        <v>3807</v>
      </c>
      <c r="AI67" s="828">
        <f t="shared" si="86"/>
        <v>2893</v>
      </c>
      <c r="AJ67" s="828">
        <f t="shared" si="87"/>
        <v>0</v>
      </c>
      <c r="AK67" s="828">
        <f t="shared" si="88"/>
        <v>2893</v>
      </c>
      <c r="AL67" s="828">
        <f t="shared" si="89"/>
        <v>0</v>
      </c>
      <c r="AM67" s="828">
        <f t="shared" si="90"/>
        <v>0</v>
      </c>
      <c r="AN67" s="828">
        <f t="shared" si="91"/>
        <v>0</v>
      </c>
      <c r="AO67" s="830">
        <f t="shared" si="92"/>
        <v>0</v>
      </c>
      <c r="AP67" s="830">
        <f t="shared" si="93"/>
        <v>0</v>
      </c>
      <c r="AQ67" s="830">
        <f t="shared" si="94"/>
        <v>3807</v>
      </c>
      <c r="AR67" s="830">
        <f t="shared" ref="AR67:AR72" si="97">W67*S67</f>
        <v>289.3</v>
      </c>
      <c r="AS67" s="830">
        <f t="shared" ref="AS67:AS72" si="98">W67*T67</f>
        <v>0</v>
      </c>
      <c r="AT67" s="835">
        <f t="shared" si="16"/>
        <v>2893</v>
      </c>
      <c r="AU67" s="835">
        <f t="shared" si="17"/>
        <v>0</v>
      </c>
      <c r="AV67" s="828"/>
      <c r="AW67" s="944">
        <f t="shared" si="95"/>
        <v>2893</v>
      </c>
    </row>
    <row r="68" spans="2:49" s="196" customFormat="1" ht="33">
      <c r="B68" s="770"/>
      <c r="C68" s="837" t="s">
        <v>1531</v>
      </c>
      <c r="D68" s="820"/>
      <c r="E68" s="831" t="s">
        <v>1532</v>
      </c>
      <c r="F68" s="831">
        <v>1</v>
      </c>
      <c r="G68" s="821">
        <v>2893</v>
      </c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>
        <f t="shared" si="81"/>
        <v>2893</v>
      </c>
      <c r="S68" s="821">
        <v>1</v>
      </c>
      <c r="T68" s="831"/>
      <c r="U68" s="831"/>
      <c r="V68" s="824">
        <v>0.1</v>
      </c>
      <c r="W68" s="821">
        <f>R68*V68</f>
        <v>289.3</v>
      </c>
      <c r="X68" s="770"/>
      <c r="Y68" s="824"/>
      <c r="Z68" s="821"/>
      <c r="AA68" s="821">
        <f t="shared" si="96"/>
        <v>3807</v>
      </c>
      <c r="AB68" s="821">
        <f>(R68+AA68)*S68+W68</f>
        <v>6989.3</v>
      </c>
      <c r="AC68" s="825">
        <f t="shared" si="82"/>
        <v>0</v>
      </c>
      <c r="AD68" s="825">
        <f t="shared" si="60"/>
        <v>6989.3</v>
      </c>
      <c r="AE68" s="826">
        <f t="shared" si="61"/>
        <v>6989.3</v>
      </c>
      <c r="AF68" s="826">
        <f t="shared" si="83"/>
        <v>0</v>
      </c>
      <c r="AG68" s="827">
        <f t="shared" si="84"/>
        <v>6700</v>
      </c>
      <c r="AH68" s="826">
        <f t="shared" si="85"/>
        <v>3807</v>
      </c>
      <c r="AI68" s="828">
        <f t="shared" si="86"/>
        <v>2893</v>
      </c>
      <c r="AJ68" s="828">
        <f t="shared" si="87"/>
        <v>0</v>
      </c>
      <c r="AK68" s="828">
        <f t="shared" si="88"/>
        <v>2893</v>
      </c>
      <c r="AL68" s="828">
        <f t="shared" si="89"/>
        <v>0</v>
      </c>
      <c r="AM68" s="828">
        <f t="shared" si="90"/>
        <v>0</v>
      </c>
      <c r="AN68" s="828">
        <f t="shared" si="91"/>
        <v>0</v>
      </c>
      <c r="AO68" s="830">
        <f t="shared" si="92"/>
        <v>0</v>
      </c>
      <c r="AP68" s="830">
        <f t="shared" si="93"/>
        <v>0</v>
      </c>
      <c r="AQ68" s="830">
        <f t="shared" si="94"/>
        <v>3807</v>
      </c>
      <c r="AR68" s="830">
        <f t="shared" si="97"/>
        <v>289.3</v>
      </c>
      <c r="AS68" s="830">
        <f t="shared" si="98"/>
        <v>0</v>
      </c>
      <c r="AT68" s="835">
        <f t="shared" si="16"/>
        <v>2893</v>
      </c>
      <c r="AU68" s="835">
        <f t="shared" si="17"/>
        <v>0</v>
      </c>
      <c r="AV68" s="828"/>
      <c r="AW68" s="944">
        <f t="shared" si="95"/>
        <v>2893</v>
      </c>
    </row>
    <row r="69" spans="2:49" s="196" customFormat="1" ht="33">
      <c r="B69" s="770"/>
      <c r="C69" s="837" t="s">
        <v>1531</v>
      </c>
      <c r="D69" s="820"/>
      <c r="E69" s="831" t="s">
        <v>604</v>
      </c>
      <c r="F69" s="831">
        <v>1</v>
      </c>
      <c r="G69" s="821">
        <v>2893</v>
      </c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>
        <f t="shared" si="81"/>
        <v>2893</v>
      </c>
      <c r="S69" s="821">
        <v>1</v>
      </c>
      <c r="T69" s="831"/>
      <c r="U69" s="831"/>
      <c r="V69" s="824">
        <v>0.1</v>
      </c>
      <c r="W69" s="821">
        <f>R69*V69</f>
        <v>289.3</v>
      </c>
      <c r="X69" s="770"/>
      <c r="Y69" s="824"/>
      <c r="Z69" s="821"/>
      <c r="AA69" s="821">
        <f t="shared" si="96"/>
        <v>3807</v>
      </c>
      <c r="AB69" s="821">
        <f>(R69+Z69+U69+W69)*S69+AA69</f>
        <v>6989.3</v>
      </c>
      <c r="AC69" s="825">
        <f t="shared" si="82"/>
        <v>0</v>
      </c>
      <c r="AD69" s="825">
        <f t="shared" si="60"/>
        <v>6989.3</v>
      </c>
      <c r="AE69" s="826">
        <f t="shared" si="61"/>
        <v>6989.3</v>
      </c>
      <c r="AF69" s="826">
        <f t="shared" si="83"/>
        <v>0</v>
      </c>
      <c r="AG69" s="827">
        <f t="shared" si="84"/>
        <v>6700</v>
      </c>
      <c r="AH69" s="826">
        <f t="shared" si="85"/>
        <v>3807</v>
      </c>
      <c r="AI69" s="828">
        <f t="shared" si="86"/>
        <v>2893</v>
      </c>
      <c r="AJ69" s="828">
        <f t="shared" si="87"/>
        <v>0</v>
      </c>
      <c r="AK69" s="828">
        <f t="shared" si="88"/>
        <v>2893</v>
      </c>
      <c r="AL69" s="828">
        <f t="shared" si="89"/>
        <v>0</v>
      </c>
      <c r="AM69" s="828">
        <f t="shared" si="90"/>
        <v>0</v>
      </c>
      <c r="AN69" s="828">
        <f t="shared" si="91"/>
        <v>0</v>
      </c>
      <c r="AO69" s="830">
        <f t="shared" si="92"/>
        <v>0</v>
      </c>
      <c r="AP69" s="830">
        <f t="shared" si="93"/>
        <v>0</v>
      </c>
      <c r="AQ69" s="830">
        <f t="shared" si="94"/>
        <v>3807</v>
      </c>
      <c r="AR69" s="830">
        <f t="shared" si="97"/>
        <v>289.3</v>
      </c>
      <c r="AS69" s="830">
        <f t="shared" si="98"/>
        <v>0</v>
      </c>
      <c r="AT69" s="835">
        <f t="shared" si="16"/>
        <v>2893</v>
      </c>
      <c r="AU69" s="835">
        <f t="shared" si="17"/>
        <v>0</v>
      </c>
      <c r="AV69" s="828"/>
      <c r="AW69" s="944">
        <f t="shared" si="95"/>
        <v>2893</v>
      </c>
    </row>
    <row r="70" spans="2:49" s="196" customFormat="1" ht="33">
      <c r="B70" s="770"/>
      <c r="C70" s="837" t="s">
        <v>1531</v>
      </c>
      <c r="D70" s="820"/>
      <c r="E70" s="831" t="s">
        <v>1533</v>
      </c>
      <c r="F70" s="831">
        <v>1</v>
      </c>
      <c r="G70" s="821">
        <v>2893</v>
      </c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>
        <f t="shared" si="81"/>
        <v>2893</v>
      </c>
      <c r="S70" s="821">
        <v>1</v>
      </c>
      <c r="T70" s="831"/>
      <c r="U70" s="831"/>
      <c r="V70" s="824">
        <v>0.1</v>
      </c>
      <c r="W70" s="821">
        <f>R70*V70</f>
        <v>289.3</v>
      </c>
      <c r="X70" s="770"/>
      <c r="Y70" s="824"/>
      <c r="Z70" s="821"/>
      <c r="AA70" s="821">
        <f t="shared" si="96"/>
        <v>3807</v>
      </c>
      <c r="AB70" s="821">
        <f>(R70+AA70)*S70+W70</f>
        <v>6989.3</v>
      </c>
      <c r="AC70" s="825">
        <f t="shared" si="82"/>
        <v>0</v>
      </c>
      <c r="AD70" s="825">
        <f t="shared" si="60"/>
        <v>6989.3</v>
      </c>
      <c r="AE70" s="826">
        <f t="shared" si="61"/>
        <v>6989.3</v>
      </c>
      <c r="AF70" s="826">
        <f t="shared" si="83"/>
        <v>0</v>
      </c>
      <c r="AG70" s="827">
        <f t="shared" si="84"/>
        <v>6700</v>
      </c>
      <c r="AH70" s="826">
        <f t="shared" si="85"/>
        <v>3807</v>
      </c>
      <c r="AI70" s="828">
        <f t="shared" si="86"/>
        <v>2893</v>
      </c>
      <c r="AJ70" s="828">
        <f t="shared" si="87"/>
        <v>0</v>
      </c>
      <c r="AK70" s="828">
        <f t="shared" si="88"/>
        <v>2893</v>
      </c>
      <c r="AL70" s="828">
        <f t="shared" si="89"/>
        <v>0</v>
      </c>
      <c r="AM70" s="828">
        <f t="shared" si="90"/>
        <v>0</v>
      </c>
      <c r="AN70" s="828">
        <f t="shared" si="91"/>
        <v>0</v>
      </c>
      <c r="AO70" s="830">
        <f t="shared" si="92"/>
        <v>0</v>
      </c>
      <c r="AP70" s="830">
        <f t="shared" si="93"/>
        <v>0</v>
      </c>
      <c r="AQ70" s="830">
        <f t="shared" si="94"/>
        <v>3807</v>
      </c>
      <c r="AR70" s="830">
        <f t="shared" si="97"/>
        <v>289.3</v>
      </c>
      <c r="AS70" s="830">
        <f t="shared" si="98"/>
        <v>0</v>
      </c>
      <c r="AT70" s="835">
        <f t="shared" si="16"/>
        <v>2893</v>
      </c>
      <c r="AU70" s="835">
        <f t="shared" si="17"/>
        <v>0</v>
      </c>
      <c r="AV70" s="828"/>
      <c r="AW70" s="944">
        <f t="shared" si="95"/>
        <v>2893</v>
      </c>
    </row>
    <row r="71" spans="2:49" s="196" customFormat="1" ht="33">
      <c r="B71" s="770"/>
      <c r="C71" s="819" t="s">
        <v>1534</v>
      </c>
      <c r="D71" s="820"/>
      <c r="E71" s="770" t="s">
        <v>1535</v>
      </c>
      <c r="F71" s="770">
        <v>1</v>
      </c>
      <c r="G71" s="821">
        <v>2893</v>
      </c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>
        <f t="shared" si="81"/>
        <v>2893</v>
      </c>
      <c r="S71" s="821">
        <v>1</v>
      </c>
      <c r="T71" s="831"/>
      <c r="U71" s="831"/>
      <c r="V71" s="831"/>
      <c r="W71" s="831"/>
      <c r="X71" s="770"/>
      <c r="Y71" s="824"/>
      <c r="Z71" s="821"/>
      <c r="AA71" s="821">
        <f t="shared" si="96"/>
        <v>3807</v>
      </c>
      <c r="AB71" s="821">
        <f>(R71+AA71)*S71</f>
        <v>6700</v>
      </c>
      <c r="AC71" s="825">
        <f t="shared" si="82"/>
        <v>0</v>
      </c>
      <c r="AD71" s="825">
        <f t="shared" si="60"/>
        <v>6700</v>
      </c>
      <c r="AE71" s="826">
        <f t="shared" si="61"/>
        <v>6700</v>
      </c>
      <c r="AF71" s="826">
        <f t="shared" si="83"/>
        <v>0</v>
      </c>
      <c r="AG71" s="827">
        <f t="shared" si="84"/>
        <v>6700</v>
      </c>
      <c r="AH71" s="826">
        <f t="shared" si="85"/>
        <v>3807</v>
      </c>
      <c r="AI71" s="828">
        <f t="shared" si="86"/>
        <v>2893</v>
      </c>
      <c r="AJ71" s="828">
        <f t="shared" si="87"/>
        <v>0</v>
      </c>
      <c r="AK71" s="828">
        <f t="shared" si="88"/>
        <v>2893</v>
      </c>
      <c r="AL71" s="828">
        <f t="shared" si="89"/>
        <v>0</v>
      </c>
      <c r="AM71" s="828">
        <f t="shared" si="90"/>
        <v>0</v>
      </c>
      <c r="AN71" s="828">
        <f t="shared" si="91"/>
        <v>0</v>
      </c>
      <c r="AO71" s="830">
        <f t="shared" si="92"/>
        <v>0</v>
      </c>
      <c r="AP71" s="830">
        <f t="shared" si="93"/>
        <v>0</v>
      </c>
      <c r="AQ71" s="830">
        <f t="shared" si="94"/>
        <v>3807</v>
      </c>
      <c r="AR71" s="830">
        <f t="shared" si="97"/>
        <v>0</v>
      </c>
      <c r="AS71" s="830">
        <f t="shared" si="98"/>
        <v>0</v>
      </c>
      <c r="AT71" s="835">
        <f t="shared" si="16"/>
        <v>2893</v>
      </c>
      <c r="AU71" s="835">
        <f t="shared" si="17"/>
        <v>0</v>
      </c>
      <c r="AV71" s="828"/>
      <c r="AW71" s="944">
        <f t="shared" si="95"/>
        <v>2893</v>
      </c>
    </row>
    <row r="72" spans="2:49" s="196" customFormat="1" ht="33">
      <c r="B72" s="770"/>
      <c r="C72" s="837" t="s">
        <v>605</v>
      </c>
      <c r="D72" s="820"/>
      <c r="E72" s="831" t="s">
        <v>1505</v>
      </c>
      <c r="F72" s="831">
        <v>1</v>
      </c>
      <c r="G72" s="821">
        <v>2893</v>
      </c>
      <c r="H72" s="821"/>
      <c r="I72" s="821"/>
      <c r="J72" s="821"/>
      <c r="K72" s="821"/>
      <c r="L72" s="821"/>
      <c r="M72" s="821"/>
      <c r="N72" s="821"/>
      <c r="O72" s="821"/>
      <c r="P72" s="821"/>
      <c r="Q72" s="821"/>
      <c r="R72" s="821">
        <f>G72+I72+K72+L72+N72+P72+Q72</f>
        <v>2893</v>
      </c>
      <c r="S72" s="821">
        <v>1</v>
      </c>
      <c r="T72" s="831"/>
      <c r="U72" s="831"/>
      <c r="V72" s="831"/>
      <c r="W72" s="831"/>
      <c r="X72" s="770"/>
      <c r="Y72" s="824"/>
      <c r="Z72" s="821"/>
      <c r="AA72" s="821">
        <f t="shared" si="96"/>
        <v>3807</v>
      </c>
      <c r="AB72" s="821">
        <f>(R72+AA72)*S72</f>
        <v>6700</v>
      </c>
      <c r="AC72" s="825">
        <f>AF72</f>
        <v>0</v>
      </c>
      <c r="AD72" s="825">
        <f>AB72+AC72</f>
        <v>6700</v>
      </c>
      <c r="AE72" s="826">
        <f>AB72</f>
        <v>6700</v>
      </c>
      <c r="AF72" s="826">
        <f>AE72-AB72</f>
        <v>0</v>
      </c>
      <c r="AG72" s="827">
        <f t="shared" si="84"/>
        <v>6700</v>
      </c>
      <c r="AH72" s="826">
        <f>AG72-(R72*S72)</f>
        <v>3807</v>
      </c>
      <c r="AI72" s="828">
        <f>G72*S72</f>
        <v>2893</v>
      </c>
      <c r="AJ72" s="828">
        <f>G72*T72</f>
        <v>0</v>
      </c>
      <c r="AK72" s="828">
        <f>R72*S72</f>
        <v>2893</v>
      </c>
      <c r="AL72" s="828">
        <f>R72*T72</f>
        <v>0</v>
      </c>
      <c r="AM72" s="828">
        <f>AK72-AI72</f>
        <v>0</v>
      </c>
      <c r="AN72" s="828">
        <f>AL72-AJ72</f>
        <v>0</v>
      </c>
      <c r="AO72" s="830">
        <f>Z72*S72</f>
        <v>0</v>
      </c>
      <c r="AP72" s="830">
        <f>Z72*T72</f>
        <v>0</v>
      </c>
      <c r="AQ72" s="830">
        <f>AA72</f>
        <v>3807</v>
      </c>
      <c r="AR72" s="830">
        <f t="shared" si="97"/>
        <v>0</v>
      </c>
      <c r="AS72" s="830">
        <f t="shared" si="98"/>
        <v>0</v>
      </c>
      <c r="AT72" s="835">
        <f t="shared" si="16"/>
        <v>2893</v>
      </c>
      <c r="AU72" s="835">
        <f t="shared" si="17"/>
        <v>0</v>
      </c>
      <c r="AV72" s="828"/>
      <c r="AW72" s="944">
        <f>AT72+AU72-AV72</f>
        <v>2893</v>
      </c>
    </row>
    <row r="73" spans="2:49" s="196" customFormat="1" ht="33">
      <c r="B73" s="770"/>
      <c r="C73" s="839" t="s">
        <v>801</v>
      </c>
      <c r="D73" s="820"/>
      <c r="E73" s="831"/>
      <c r="F73" s="83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31"/>
      <c r="U73" s="831"/>
      <c r="V73" s="831"/>
      <c r="W73" s="831"/>
      <c r="X73" s="770"/>
      <c r="Y73" s="824"/>
      <c r="Z73" s="821"/>
      <c r="AA73" s="821"/>
      <c r="AB73" s="821"/>
      <c r="AC73" s="825"/>
      <c r="AD73" s="825"/>
      <c r="AE73" s="826"/>
      <c r="AF73" s="826"/>
      <c r="AG73" s="827"/>
      <c r="AH73" s="826"/>
      <c r="AI73" s="828"/>
      <c r="AJ73" s="828"/>
      <c r="AK73" s="828"/>
      <c r="AL73" s="828"/>
      <c r="AM73" s="828"/>
      <c r="AN73" s="828"/>
      <c r="AO73" s="830"/>
      <c r="AP73" s="830"/>
      <c r="AQ73" s="830"/>
      <c r="AR73" s="830"/>
      <c r="AS73" s="830"/>
      <c r="AT73" s="835"/>
      <c r="AU73" s="835"/>
      <c r="AV73" s="828"/>
      <c r="AW73" s="944"/>
    </row>
    <row r="74" spans="2:49" s="199" customFormat="1" ht="33">
      <c r="B74" s="770"/>
      <c r="C74" s="819" t="s">
        <v>713</v>
      </c>
      <c r="D74" s="820"/>
      <c r="E74" s="770" t="s">
        <v>511</v>
      </c>
      <c r="F74" s="770">
        <v>3</v>
      </c>
      <c r="G74" s="821">
        <v>3414</v>
      </c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>
        <f>G74+I74+K74+L74+N74+P74+Q74</f>
        <v>3414</v>
      </c>
      <c r="S74" s="821">
        <v>1</v>
      </c>
      <c r="T74" s="831"/>
      <c r="U74" s="831"/>
      <c r="V74" s="831"/>
      <c r="W74" s="831"/>
      <c r="X74" s="770"/>
      <c r="Y74" s="824"/>
      <c r="Z74" s="821"/>
      <c r="AA74" s="821">
        <f>AH74</f>
        <v>3286</v>
      </c>
      <c r="AB74" s="821">
        <f>(R74+AA74)*S74</f>
        <v>6700</v>
      </c>
      <c r="AC74" s="825">
        <f>AF74</f>
        <v>0</v>
      </c>
      <c r="AD74" s="825">
        <f>AB74+AC74</f>
        <v>6700</v>
      </c>
      <c r="AE74" s="826">
        <f>AB74</f>
        <v>6700</v>
      </c>
      <c r="AF74" s="826">
        <f>AE74-AB74</f>
        <v>0</v>
      </c>
      <c r="AG74" s="827">
        <f>6700*S74</f>
        <v>6700</v>
      </c>
      <c r="AH74" s="826">
        <f>AG74-(R74*S74)</f>
        <v>3286</v>
      </c>
      <c r="AI74" s="828">
        <f>G74*S74</f>
        <v>3414</v>
      </c>
      <c r="AJ74" s="828">
        <f>G74*T74</f>
        <v>0</v>
      </c>
      <c r="AK74" s="828">
        <f>R74*S74</f>
        <v>3414</v>
      </c>
      <c r="AL74" s="828">
        <f>R74*T74</f>
        <v>0</v>
      </c>
      <c r="AM74" s="828">
        <f>AK74-AI74</f>
        <v>0</v>
      </c>
      <c r="AN74" s="828">
        <f>AL74-AJ74</f>
        <v>0</v>
      </c>
      <c r="AO74" s="830">
        <f>Z74*S74</f>
        <v>0</v>
      </c>
      <c r="AP74" s="830">
        <f>Z74*T74</f>
        <v>0</v>
      </c>
      <c r="AQ74" s="830">
        <f>AA74</f>
        <v>3286</v>
      </c>
      <c r="AR74" s="830">
        <f t="shared" ref="AR74:AR83" si="99">W74*S74</f>
        <v>0</v>
      </c>
      <c r="AS74" s="830">
        <f t="shared" ref="AS74:AS83" si="100">W74*T74</f>
        <v>0</v>
      </c>
      <c r="AT74" s="835">
        <f t="shared" si="16"/>
        <v>3414</v>
      </c>
      <c r="AU74" s="835">
        <f t="shared" si="17"/>
        <v>0</v>
      </c>
      <c r="AV74" s="828"/>
      <c r="AW74" s="944">
        <f>AT74+AU74-AV74</f>
        <v>3414</v>
      </c>
    </row>
    <row r="75" spans="2:49" s="196" customFormat="1" ht="33">
      <c r="B75" s="770"/>
      <c r="C75" s="819" t="s">
        <v>1538</v>
      </c>
      <c r="D75" s="820"/>
      <c r="E75" s="770" t="s">
        <v>511</v>
      </c>
      <c r="F75" s="770">
        <v>3</v>
      </c>
      <c r="G75" s="821">
        <v>3414</v>
      </c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>
        <f t="shared" ref="R75:R83" si="101">G75+I75+K75+L75+N75+P75+Q75</f>
        <v>3414</v>
      </c>
      <c r="S75" s="821">
        <v>1</v>
      </c>
      <c r="T75" s="831"/>
      <c r="U75" s="831"/>
      <c r="V75" s="831"/>
      <c r="W75" s="831"/>
      <c r="X75" s="770"/>
      <c r="Y75" s="824"/>
      <c r="Z75" s="821"/>
      <c r="AA75" s="821">
        <f t="shared" ref="AA75:AA83" si="102">AH75</f>
        <v>3286</v>
      </c>
      <c r="AB75" s="821">
        <f t="shared" ref="AB75:AB83" si="103">(R75+AA75)*S75</f>
        <v>6700</v>
      </c>
      <c r="AC75" s="825">
        <f t="shared" ref="AC75:AC83" si="104">AF75</f>
        <v>0</v>
      </c>
      <c r="AD75" s="825">
        <f t="shared" ref="AD75:AD83" si="105">AB75+AC75</f>
        <v>6700</v>
      </c>
      <c r="AE75" s="826">
        <f t="shared" ref="AE75:AE83" si="106">AB75</f>
        <v>6700</v>
      </c>
      <c r="AF75" s="826">
        <f t="shared" ref="AF75:AF83" si="107">AE75-AB75</f>
        <v>0</v>
      </c>
      <c r="AG75" s="827">
        <f t="shared" ref="AG75:AG83" si="108">6700*S75</f>
        <v>6700</v>
      </c>
      <c r="AH75" s="826">
        <f t="shared" ref="AH75:AH83" si="109">AG75-(R75*S75)</f>
        <v>3286</v>
      </c>
      <c r="AI75" s="828">
        <f t="shared" ref="AI75:AI83" si="110">G75*S75</f>
        <v>3414</v>
      </c>
      <c r="AJ75" s="828">
        <f t="shared" ref="AJ75:AJ83" si="111">G75*T75</f>
        <v>0</v>
      </c>
      <c r="AK75" s="828">
        <f t="shared" ref="AK75:AK83" si="112">R75*S75</f>
        <v>3414</v>
      </c>
      <c r="AL75" s="828">
        <f t="shared" ref="AL75:AL83" si="113">R75*T75</f>
        <v>0</v>
      </c>
      <c r="AM75" s="828">
        <f t="shared" ref="AM75:AM83" si="114">AK75-AI75</f>
        <v>0</v>
      </c>
      <c r="AN75" s="828">
        <f t="shared" ref="AN75:AN83" si="115">AL75-AJ75</f>
        <v>0</v>
      </c>
      <c r="AO75" s="830">
        <f t="shared" ref="AO75:AO83" si="116">Z75*S75</f>
        <v>0</v>
      </c>
      <c r="AP75" s="830">
        <f t="shared" ref="AP75:AP83" si="117">Z75*T75</f>
        <v>0</v>
      </c>
      <c r="AQ75" s="830">
        <f t="shared" ref="AQ75:AQ83" si="118">AA75</f>
        <v>3286</v>
      </c>
      <c r="AR75" s="830">
        <f t="shared" si="99"/>
        <v>0</v>
      </c>
      <c r="AS75" s="830">
        <f t="shared" si="100"/>
        <v>0</v>
      </c>
      <c r="AT75" s="835">
        <f t="shared" si="16"/>
        <v>3414</v>
      </c>
      <c r="AU75" s="835">
        <f t="shared" si="17"/>
        <v>0</v>
      </c>
      <c r="AV75" s="828"/>
      <c r="AW75" s="944">
        <f t="shared" ref="AW75:AW83" si="119">AT75+AU75-AV75</f>
        <v>3414</v>
      </c>
    </row>
    <row r="76" spans="2:49" s="196" customFormat="1" ht="33">
      <c r="B76" s="770"/>
      <c r="C76" s="819" t="s">
        <v>1538</v>
      </c>
      <c r="D76" s="820"/>
      <c r="E76" s="770" t="s">
        <v>511</v>
      </c>
      <c r="F76" s="770">
        <v>3</v>
      </c>
      <c r="G76" s="821">
        <v>3414</v>
      </c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>
        <f t="shared" si="101"/>
        <v>3414</v>
      </c>
      <c r="S76" s="821">
        <v>1</v>
      </c>
      <c r="T76" s="831"/>
      <c r="U76" s="831"/>
      <c r="V76" s="831"/>
      <c r="W76" s="831"/>
      <c r="X76" s="770"/>
      <c r="Y76" s="824"/>
      <c r="Z76" s="821"/>
      <c r="AA76" s="821">
        <f t="shared" si="102"/>
        <v>3286</v>
      </c>
      <c r="AB76" s="821">
        <f t="shared" si="103"/>
        <v>6700</v>
      </c>
      <c r="AC76" s="825">
        <f t="shared" si="104"/>
        <v>0</v>
      </c>
      <c r="AD76" s="825">
        <f t="shared" si="105"/>
        <v>6700</v>
      </c>
      <c r="AE76" s="826">
        <f t="shared" si="106"/>
        <v>6700</v>
      </c>
      <c r="AF76" s="826">
        <f t="shared" si="107"/>
        <v>0</v>
      </c>
      <c r="AG76" s="827">
        <f t="shared" si="108"/>
        <v>6700</v>
      </c>
      <c r="AH76" s="826">
        <f t="shared" si="109"/>
        <v>3286</v>
      </c>
      <c r="AI76" s="828">
        <f t="shared" si="110"/>
        <v>3414</v>
      </c>
      <c r="AJ76" s="828">
        <f t="shared" si="111"/>
        <v>0</v>
      </c>
      <c r="AK76" s="828">
        <f t="shared" si="112"/>
        <v>3414</v>
      </c>
      <c r="AL76" s="828">
        <f t="shared" si="113"/>
        <v>0</v>
      </c>
      <c r="AM76" s="828">
        <f t="shared" si="114"/>
        <v>0</v>
      </c>
      <c r="AN76" s="828">
        <f t="shared" si="115"/>
        <v>0</v>
      </c>
      <c r="AO76" s="830">
        <f t="shared" si="116"/>
        <v>0</v>
      </c>
      <c r="AP76" s="830">
        <f t="shared" si="117"/>
        <v>0</v>
      </c>
      <c r="AQ76" s="830">
        <f t="shared" si="118"/>
        <v>3286</v>
      </c>
      <c r="AR76" s="830">
        <f t="shared" si="99"/>
        <v>0</v>
      </c>
      <c r="AS76" s="830">
        <f t="shared" si="100"/>
        <v>0</v>
      </c>
      <c r="AT76" s="835">
        <f t="shared" si="16"/>
        <v>3414</v>
      </c>
      <c r="AU76" s="835">
        <f t="shared" si="17"/>
        <v>0</v>
      </c>
      <c r="AV76" s="828"/>
      <c r="AW76" s="944">
        <f t="shared" si="119"/>
        <v>3414</v>
      </c>
    </row>
    <row r="77" spans="2:49" s="196" customFormat="1" ht="33">
      <c r="B77" s="770"/>
      <c r="C77" s="819" t="s">
        <v>1538</v>
      </c>
      <c r="D77" s="820"/>
      <c r="E77" s="770" t="s">
        <v>511</v>
      </c>
      <c r="F77" s="770">
        <v>3</v>
      </c>
      <c r="G77" s="821">
        <v>3414</v>
      </c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>
        <f t="shared" si="101"/>
        <v>3414</v>
      </c>
      <c r="S77" s="821">
        <v>1</v>
      </c>
      <c r="T77" s="831"/>
      <c r="U77" s="831"/>
      <c r="V77" s="831"/>
      <c r="W77" s="831"/>
      <c r="X77" s="770"/>
      <c r="Y77" s="824"/>
      <c r="Z77" s="821"/>
      <c r="AA77" s="821">
        <f t="shared" si="102"/>
        <v>3286</v>
      </c>
      <c r="AB77" s="821">
        <f t="shared" si="103"/>
        <v>6700</v>
      </c>
      <c r="AC77" s="825">
        <f t="shared" si="104"/>
        <v>0</v>
      </c>
      <c r="AD77" s="825">
        <f t="shared" si="105"/>
        <v>6700</v>
      </c>
      <c r="AE77" s="826">
        <f t="shared" si="106"/>
        <v>6700</v>
      </c>
      <c r="AF77" s="826">
        <f t="shared" si="107"/>
        <v>0</v>
      </c>
      <c r="AG77" s="827">
        <f t="shared" si="108"/>
        <v>6700</v>
      </c>
      <c r="AH77" s="826">
        <f t="shared" si="109"/>
        <v>3286</v>
      </c>
      <c r="AI77" s="828">
        <f t="shared" si="110"/>
        <v>3414</v>
      </c>
      <c r="AJ77" s="828">
        <f t="shared" si="111"/>
        <v>0</v>
      </c>
      <c r="AK77" s="828">
        <f t="shared" si="112"/>
        <v>3414</v>
      </c>
      <c r="AL77" s="828">
        <f t="shared" si="113"/>
        <v>0</v>
      </c>
      <c r="AM77" s="828">
        <f t="shared" si="114"/>
        <v>0</v>
      </c>
      <c r="AN77" s="828">
        <f t="shared" si="115"/>
        <v>0</v>
      </c>
      <c r="AO77" s="830">
        <f t="shared" si="116"/>
        <v>0</v>
      </c>
      <c r="AP77" s="830">
        <f t="shared" si="117"/>
        <v>0</v>
      </c>
      <c r="AQ77" s="830">
        <f t="shared" si="118"/>
        <v>3286</v>
      </c>
      <c r="AR77" s="830">
        <f t="shared" si="99"/>
        <v>0</v>
      </c>
      <c r="AS77" s="830">
        <f t="shared" si="100"/>
        <v>0</v>
      </c>
      <c r="AT77" s="835">
        <f t="shared" ref="AT77:AT140" si="120">AK77</f>
        <v>3414</v>
      </c>
      <c r="AU77" s="835">
        <f t="shared" ref="AU77:AU140" si="121">AL77</f>
        <v>0</v>
      </c>
      <c r="AV77" s="828"/>
      <c r="AW77" s="944">
        <f t="shared" si="119"/>
        <v>3414</v>
      </c>
    </row>
    <row r="78" spans="2:49" s="196" customFormat="1" ht="33">
      <c r="B78" s="770"/>
      <c r="C78" s="819" t="s">
        <v>1538</v>
      </c>
      <c r="D78" s="820"/>
      <c r="E78" s="770" t="s">
        <v>511</v>
      </c>
      <c r="F78" s="770">
        <v>3</v>
      </c>
      <c r="G78" s="821">
        <v>3414</v>
      </c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>
        <f t="shared" si="101"/>
        <v>3414</v>
      </c>
      <c r="S78" s="821">
        <v>1</v>
      </c>
      <c r="T78" s="831"/>
      <c r="U78" s="831"/>
      <c r="V78" s="831"/>
      <c r="W78" s="831"/>
      <c r="X78" s="770"/>
      <c r="Y78" s="824"/>
      <c r="Z78" s="821"/>
      <c r="AA78" s="821">
        <f t="shared" si="102"/>
        <v>3286</v>
      </c>
      <c r="AB78" s="821">
        <f t="shared" si="103"/>
        <v>6700</v>
      </c>
      <c r="AC78" s="825">
        <f t="shared" si="104"/>
        <v>0</v>
      </c>
      <c r="AD78" s="825">
        <f t="shared" si="105"/>
        <v>6700</v>
      </c>
      <c r="AE78" s="826">
        <f t="shared" si="106"/>
        <v>6700</v>
      </c>
      <c r="AF78" s="826">
        <f t="shared" si="107"/>
        <v>0</v>
      </c>
      <c r="AG78" s="827">
        <f t="shared" si="108"/>
        <v>6700</v>
      </c>
      <c r="AH78" s="826">
        <f t="shared" si="109"/>
        <v>3286</v>
      </c>
      <c r="AI78" s="828">
        <f t="shared" si="110"/>
        <v>3414</v>
      </c>
      <c r="AJ78" s="828">
        <f t="shared" si="111"/>
        <v>0</v>
      </c>
      <c r="AK78" s="828">
        <f t="shared" si="112"/>
        <v>3414</v>
      </c>
      <c r="AL78" s="828">
        <f t="shared" si="113"/>
        <v>0</v>
      </c>
      <c r="AM78" s="828">
        <f t="shared" si="114"/>
        <v>0</v>
      </c>
      <c r="AN78" s="828">
        <f t="shared" si="115"/>
        <v>0</v>
      </c>
      <c r="AO78" s="830">
        <f t="shared" si="116"/>
        <v>0</v>
      </c>
      <c r="AP78" s="830">
        <f t="shared" si="117"/>
        <v>0</v>
      </c>
      <c r="AQ78" s="830">
        <f t="shared" si="118"/>
        <v>3286</v>
      </c>
      <c r="AR78" s="830">
        <f t="shared" si="99"/>
        <v>0</v>
      </c>
      <c r="AS78" s="830">
        <f t="shared" si="100"/>
        <v>0</v>
      </c>
      <c r="AT78" s="835">
        <f t="shared" si="120"/>
        <v>3414</v>
      </c>
      <c r="AU78" s="835">
        <f t="shared" si="121"/>
        <v>0</v>
      </c>
      <c r="AV78" s="828"/>
      <c r="AW78" s="944">
        <f t="shared" si="119"/>
        <v>3414</v>
      </c>
    </row>
    <row r="79" spans="2:49" s="196" customFormat="1" ht="33">
      <c r="B79" s="770"/>
      <c r="C79" s="819" t="s">
        <v>1538</v>
      </c>
      <c r="D79" s="820"/>
      <c r="E79" s="770" t="s">
        <v>511</v>
      </c>
      <c r="F79" s="770">
        <v>3</v>
      </c>
      <c r="G79" s="821">
        <v>3414</v>
      </c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>
        <f t="shared" si="101"/>
        <v>3414</v>
      </c>
      <c r="S79" s="821">
        <v>1</v>
      </c>
      <c r="T79" s="831"/>
      <c r="U79" s="831"/>
      <c r="V79" s="831"/>
      <c r="W79" s="831"/>
      <c r="X79" s="770"/>
      <c r="Y79" s="824"/>
      <c r="Z79" s="821"/>
      <c r="AA79" s="821">
        <f t="shared" si="102"/>
        <v>3286</v>
      </c>
      <c r="AB79" s="821">
        <f t="shared" si="103"/>
        <v>6700</v>
      </c>
      <c r="AC79" s="825">
        <f t="shared" si="104"/>
        <v>0</v>
      </c>
      <c r="AD79" s="825">
        <f t="shared" si="105"/>
        <v>6700</v>
      </c>
      <c r="AE79" s="826">
        <f t="shared" si="106"/>
        <v>6700</v>
      </c>
      <c r="AF79" s="826">
        <f t="shared" si="107"/>
        <v>0</v>
      </c>
      <c r="AG79" s="827">
        <f t="shared" si="108"/>
        <v>6700</v>
      </c>
      <c r="AH79" s="826">
        <f t="shared" si="109"/>
        <v>3286</v>
      </c>
      <c r="AI79" s="828">
        <f t="shared" si="110"/>
        <v>3414</v>
      </c>
      <c r="AJ79" s="828">
        <f t="shared" si="111"/>
        <v>0</v>
      </c>
      <c r="AK79" s="828">
        <f t="shared" si="112"/>
        <v>3414</v>
      </c>
      <c r="AL79" s="828">
        <f t="shared" si="113"/>
        <v>0</v>
      </c>
      <c r="AM79" s="828">
        <f t="shared" si="114"/>
        <v>0</v>
      </c>
      <c r="AN79" s="828">
        <f t="shared" si="115"/>
        <v>0</v>
      </c>
      <c r="AO79" s="830">
        <f t="shared" si="116"/>
        <v>0</v>
      </c>
      <c r="AP79" s="830">
        <f t="shared" si="117"/>
        <v>0</v>
      </c>
      <c r="AQ79" s="830">
        <f t="shared" si="118"/>
        <v>3286</v>
      </c>
      <c r="AR79" s="830">
        <f t="shared" si="99"/>
        <v>0</v>
      </c>
      <c r="AS79" s="830">
        <f t="shared" si="100"/>
        <v>0</v>
      </c>
      <c r="AT79" s="835">
        <f t="shared" si="120"/>
        <v>3414</v>
      </c>
      <c r="AU79" s="835">
        <f t="shared" si="121"/>
        <v>0</v>
      </c>
      <c r="AV79" s="828"/>
      <c r="AW79" s="944">
        <f t="shared" si="119"/>
        <v>3414</v>
      </c>
    </row>
    <row r="80" spans="2:49" s="196" customFormat="1" ht="33">
      <c r="B80" s="770"/>
      <c r="C80" s="819" t="s">
        <v>1538</v>
      </c>
      <c r="D80" s="820"/>
      <c r="E80" s="770" t="s">
        <v>511</v>
      </c>
      <c r="F80" s="770">
        <v>3</v>
      </c>
      <c r="G80" s="821">
        <v>3414</v>
      </c>
      <c r="H80" s="821"/>
      <c r="I80" s="821"/>
      <c r="J80" s="821"/>
      <c r="K80" s="821"/>
      <c r="L80" s="821"/>
      <c r="M80" s="821"/>
      <c r="N80" s="821"/>
      <c r="O80" s="821"/>
      <c r="P80" s="821"/>
      <c r="Q80" s="821"/>
      <c r="R80" s="821">
        <f t="shared" si="101"/>
        <v>3414</v>
      </c>
      <c r="S80" s="821">
        <v>1</v>
      </c>
      <c r="T80" s="831"/>
      <c r="U80" s="831"/>
      <c r="V80" s="831"/>
      <c r="W80" s="831"/>
      <c r="X80" s="770"/>
      <c r="Y80" s="824"/>
      <c r="Z80" s="821"/>
      <c r="AA80" s="821">
        <f t="shared" si="102"/>
        <v>3286</v>
      </c>
      <c r="AB80" s="821">
        <f t="shared" si="103"/>
        <v>6700</v>
      </c>
      <c r="AC80" s="825">
        <f t="shared" si="104"/>
        <v>0</v>
      </c>
      <c r="AD80" s="825">
        <f t="shared" si="105"/>
        <v>6700</v>
      </c>
      <c r="AE80" s="826">
        <f t="shared" si="106"/>
        <v>6700</v>
      </c>
      <c r="AF80" s="826">
        <f t="shared" si="107"/>
        <v>0</v>
      </c>
      <c r="AG80" s="827">
        <f t="shared" si="108"/>
        <v>6700</v>
      </c>
      <c r="AH80" s="826">
        <f t="shared" si="109"/>
        <v>3286</v>
      </c>
      <c r="AI80" s="828">
        <f t="shared" si="110"/>
        <v>3414</v>
      </c>
      <c r="AJ80" s="828">
        <f t="shared" si="111"/>
        <v>0</v>
      </c>
      <c r="AK80" s="828">
        <f t="shared" si="112"/>
        <v>3414</v>
      </c>
      <c r="AL80" s="828">
        <f t="shared" si="113"/>
        <v>0</v>
      </c>
      <c r="AM80" s="828">
        <f t="shared" si="114"/>
        <v>0</v>
      </c>
      <c r="AN80" s="828">
        <f t="shared" si="115"/>
        <v>0</v>
      </c>
      <c r="AO80" s="830">
        <f t="shared" si="116"/>
        <v>0</v>
      </c>
      <c r="AP80" s="830">
        <f t="shared" si="117"/>
        <v>0</v>
      </c>
      <c r="AQ80" s="830">
        <f t="shared" si="118"/>
        <v>3286</v>
      </c>
      <c r="AR80" s="830">
        <f t="shared" si="99"/>
        <v>0</v>
      </c>
      <c r="AS80" s="830">
        <f t="shared" si="100"/>
        <v>0</v>
      </c>
      <c r="AT80" s="835">
        <f t="shared" si="120"/>
        <v>3414</v>
      </c>
      <c r="AU80" s="835">
        <f t="shared" si="121"/>
        <v>0</v>
      </c>
      <c r="AV80" s="828"/>
      <c r="AW80" s="944">
        <f t="shared" si="119"/>
        <v>3414</v>
      </c>
    </row>
    <row r="81" spans="2:55" s="198" customFormat="1" ht="33">
      <c r="B81" s="770"/>
      <c r="C81" s="819" t="s">
        <v>1538</v>
      </c>
      <c r="D81" s="820"/>
      <c r="E81" s="770" t="s">
        <v>511</v>
      </c>
      <c r="F81" s="770">
        <v>3</v>
      </c>
      <c r="G81" s="821">
        <v>3414</v>
      </c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>
        <f t="shared" si="101"/>
        <v>3414</v>
      </c>
      <c r="S81" s="821">
        <v>1</v>
      </c>
      <c r="T81" s="831"/>
      <c r="U81" s="831"/>
      <c r="V81" s="831"/>
      <c r="W81" s="831"/>
      <c r="X81" s="770"/>
      <c r="Y81" s="824"/>
      <c r="Z81" s="821"/>
      <c r="AA81" s="821">
        <f t="shared" si="102"/>
        <v>3286</v>
      </c>
      <c r="AB81" s="821">
        <f t="shared" si="103"/>
        <v>6700</v>
      </c>
      <c r="AC81" s="825">
        <f t="shared" si="104"/>
        <v>0</v>
      </c>
      <c r="AD81" s="825">
        <f t="shared" si="105"/>
        <v>6700</v>
      </c>
      <c r="AE81" s="826">
        <f t="shared" si="106"/>
        <v>6700</v>
      </c>
      <c r="AF81" s="826">
        <f t="shared" si="107"/>
        <v>0</v>
      </c>
      <c r="AG81" s="827">
        <f t="shared" si="108"/>
        <v>6700</v>
      </c>
      <c r="AH81" s="826">
        <f t="shared" si="109"/>
        <v>3286</v>
      </c>
      <c r="AI81" s="828">
        <f t="shared" si="110"/>
        <v>3414</v>
      </c>
      <c r="AJ81" s="828">
        <f t="shared" si="111"/>
        <v>0</v>
      </c>
      <c r="AK81" s="828">
        <f t="shared" si="112"/>
        <v>3414</v>
      </c>
      <c r="AL81" s="828">
        <f t="shared" si="113"/>
        <v>0</v>
      </c>
      <c r="AM81" s="828">
        <f t="shared" si="114"/>
        <v>0</v>
      </c>
      <c r="AN81" s="828">
        <f t="shared" si="115"/>
        <v>0</v>
      </c>
      <c r="AO81" s="830">
        <f t="shared" si="116"/>
        <v>0</v>
      </c>
      <c r="AP81" s="830">
        <f t="shared" si="117"/>
        <v>0</v>
      </c>
      <c r="AQ81" s="830">
        <f t="shared" si="118"/>
        <v>3286</v>
      </c>
      <c r="AR81" s="830">
        <f t="shared" si="99"/>
        <v>0</v>
      </c>
      <c r="AS81" s="830">
        <f t="shared" si="100"/>
        <v>0</v>
      </c>
      <c r="AT81" s="835">
        <f t="shared" si="120"/>
        <v>3414</v>
      </c>
      <c r="AU81" s="835">
        <f t="shared" si="121"/>
        <v>0</v>
      </c>
      <c r="AV81" s="828"/>
      <c r="AW81" s="944">
        <f t="shared" si="119"/>
        <v>3414</v>
      </c>
    </row>
    <row r="82" spans="2:55" s="199" customFormat="1" ht="33">
      <c r="B82" s="770"/>
      <c r="C82" s="819" t="s">
        <v>1538</v>
      </c>
      <c r="D82" s="820"/>
      <c r="E82" s="770" t="s">
        <v>511</v>
      </c>
      <c r="F82" s="770">
        <v>3</v>
      </c>
      <c r="G82" s="821">
        <v>3414</v>
      </c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>
        <f t="shared" si="101"/>
        <v>3414</v>
      </c>
      <c r="S82" s="821">
        <v>1</v>
      </c>
      <c r="T82" s="831"/>
      <c r="U82" s="831"/>
      <c r="V82" s="831"/>
      <c r="W82" s="831"/>
      <c r="X82" s="770"/>
      <c r="Y82" s="824"/>
      <c r="Z82" s="821"/>
      <c r="AA82" s="821">
        <f t="shared" si="102"/>
        <v>3286</v>
      </c>
      <c r="AB82" s="821">
        <f t="shared" si="103"/>
        <v>6700</v>
      </c>
      <c r="AC82" s="825">
        <f t="shared" si="104"/>
        <v>0</v>
      </c>
      <c r="AD82" s="825">
        <f t="shared" si="105"/>
        <v>6700</v>
      </c>
      <c r="AE82" s="826">
        <f t="shared" si="106"/>
        <v>6700</v>
      </c>
      <c r="AF82" s="826">
        <f t="shared" si="107"/>
        <v>0</v>
      </c>
      <c r="AG82" s="827">
        <f t="shared" si="108"/>
        <v>6700</v>
      </c>
      <c r="AH82" s="826">
        <f t="shared" si="109"/>
        <v>3286</v>
      </c>
      <c r="AI82" s="828">
        <f t="shared" si="110"/>
        <v>3414</v>
      </c>
      <c r="AJ82" s="828">
        <f t="shared" si="111"/>
        <v>0</v>
      </c>
      <c r="AK82" s="828">
        <f t="shared" si="112"/>
        <v>3414</v>
      </c>
      <c r="AL82" s="828">
        <f t="shared" si="113"/>
        <v>0</v>
      </c>
      <c r="AM82" s="828">
        <f t="shared" si="114"/>
        <v>0</v>
      </c>
      <c r="AN82" s="828">
        <f t="shared" si="115"/>
        <v>0</v>
      </c>
      <c r="AO82" s="830">
        <f t="shared" si="116"/>
        <v>0</v>
      </c>
      <c r="AP82" s="830">
        <f t="shared" si="117"/>
        <v>0</v>
      </c>
      <c r="AQ82" s="830">
        <f t="shared" si="118"/>
        <v>3286</v>
      </c>
      <c r="AR82" s="830">
        <f t="shared" si="99"/>
        <v>0</v>
      </c>
      <c r="AS82" s="830">
        <f t="shared" si="100"/>
        <v>0</v>
      </c>
      <c r="AT82" s="835">
        <f t="shared" si="120"/>
        <v>3414</v>
      </c>
      <c r="AU82" s="835">
        <f t="shared" si="121"/>
        <v>0</v>
      </c>
      <c r="AV82" s="828"/>
      <c r="AW82" s="944">
        <f t="shared" si="119"/>
        <v>3414</v>
      </c>
    </row>
    <row r="83" spans="2:55" s="196" customFormat="1" ht="33">
      <c r="B83" s="770"/>
      <c r="C83" s="819" t="s">
        <v>1538</v>
      </c>
      <c r="D83" s="820"/>
      <c r="E83" s="770" t="s">
        <v>511</v>
      </c>
      <c r="F83" s="770">
        <v>3</v>
      </c>
      <c r="G83" s="821">
        <v>3414</v>
      </c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>
        <f t="shared" si="101"/>
        <v>3414</v>
      </c>
      <c r="S83" s="821">
        <v>1</v>
      </c>
      <c r="T83" s="821"/>
      <c r="U83" s="831"/>
      <c r="V83" s="831"/>
      <c r="W83" s="831"/>
      <c r="X83" s="770"/>
      <c r="Y83" s="824"/>
      <c r="Z83" s="821"/>
      <c r="AA83" s="821">
        <f t="shared" si="102"/>
        <v>3286</v>
      </c>
      <c r="AB83" s="821">
        <f t="shared" si="103"/>
        <v>6700</v>
      </c>
      <c r="AC83" s="825">
        <f t="shared" si="104"/>
        <v>0</v>
      </c>
      <c r="AD83" s="825">
        <f t="shared" si="105"/>
        <v>6700</v>
      </c>
      <c r="AE83" s="826">
        <f t="shared" si="106"/>
        <v>6700</v>
      </c>
      <c r="AF83" s="826">
        <f t="shared" si="107"/>
        <v>0</v>
      </c>
      <c r="AG83" s="827">
        <f t="shared" si="108"/>
        <v>6700</v>
      </c>
      <c r="AH83" s="826">
        <f t="shared" si="109"/>
        <v>3286</v>
      </c>
      <c r="AI83" s="828">
        <f t="shared" si="110"/>
        <v>3414</v>
      </c>
      <c r="AJ83" s="828">
        <f t="shared" si="111"/>
        <v>0</v>
      </c>
      <c r="AK83" s="828">
        <f t="shared" si="112"/>
        <v>3414</v>
      </c>
      <c r="AL83" s="828">
        <f t="shared" si="113"/>
        <v>0</v>
      </c>
      <c r="AM83" s="828">
        <f t="shared" si="114"/>
        <v>0</v>
      </c>
      <c r="AN83" s="828">
        <f t="shared" si="115"/>
        <v>0</v>
      </c>
      <c r="AO83" s="830">
        <f t="shared" si="116"/>
        <v>0</v>
      </c>
      <c r="AP83" s="830">
        <f t="shared" si="117"/>
        <v>0</v>
      </c>
      <c r="AQ83" s="830">
        <f t="shared" si="118"/>
        <v>3286</v>
      </c>
      <c r="AR83" s="830">
        <f t="shared" si="99"/>
        <v>0</v>
      </c>
      <c r="AS83" s="830">
        <f t="shared" si="100"/>
        <v>0</v>
      </c>
      <c r="AT83" s="835">
        <f t="shared" si="120"/>
        <v>3414</v>
      </c>
      <c r="AU83" s="835">
        <f t="shared" si="121"/>
        <v>0</v>
      </c>
      <c r="AV83" s="828"/>
      <c r="AW83" s="944">
        <f t="shared" si="119"/>
        <v>3414</v>
      </c>
    </row>
    <row r="84" spans="2:55" s="198" customFormat="1" ht="30.75">
      <c r="B84" s="810"/>
      <c r="C84" s="842" t="s">
        <v>1547</v>
      </c>
      <c r="D84" s="811"/>
      <c r="E84" s="810"/>
      <c r="F84" s="810"/>
      <c r="G84" s="843">
        <f>SUM(G42:G83)</f>
        <v>126309</v>
      </c>
      <c r="H84" s="836"/>
      <c r="I84" s="836"/>
      <c r="J84" s="836"/>
      <c r="K84" s="836"/>
      <c r="L84" s="836"/>
      <c r="M84" s="836"/>
      <c r="N84" s="836"/>
      <c r="O84" s="836"/>
      <c r="P84" s="836"/>
      <c r="Q84" s="836"/>
      <c r="R84" s="836">
        <f t="shared" ref="R84:AW84" si="122">SUM(R42:R83)</f>
        <v>130509.8</v>
      </c>
      <c r="S84" s="836">
        <f t="shared" si="122"/>
        <v>31.5</v>
      </c>
      <c r="T84" s="836">
        <f t="shared" si="122"/>
        <v>2</v>
      </c>
      <c r="U84" s="836"/>
      <c r="V84" s="836"/>
      <c r="W84" s="836"/>
      <c r="X84" s="836"/>
      <c r="Y84" s="836"/>
      <c r="Z84" s="836"/>
      <c r="AA84" s="836">
        <f t="shared" si="122"/>
        <v>104175.4</v>
      </c>
      <c r="AB84" s="836">
        <f t="shared" si="122"/>
        <v>225607.19999999998</v>
      </c>
      <c r="AC84" s="836">
        <f t="shared" si="122"/>
        <v>0</v>
      </c>
      <c r="AD84" s="836">
        <f t="shared" si="122"/>
        <v>225607.19999999998</v>
      </c>
      <c r="AE84" s="836">
        <f t="shared" si="122"/>
        <v>225607.19999999998</v>
      </c>
      <c r="AF84" s="836">
        <f t="shared" si="122"/>
        <v>0</v>
      </c>
      <c r="AG84" s="836">
        <f t="shared" si="122"/>
        <v>224450</v>
      </c>
      <c r="AH84" s="836">
        <f t="shared" si="122"/>
        <v>104175.4</v>
      </c>
      <c r="AI84" s="836">
        <f t="shared" si="122"/>
        <v>109906</v>
      </c>
      <c r="AJ84" s="836">
        <f t="shared" si="122"/>
        <v>7218</v>
      </c>
      <c r="AK84" s="836">
        <f t="shared" si="122"/>
        <v>112006.39999999999</v>
      </c>
      <c r="AL84" s="836">
        <f t="shared" si="122"/>
        <v>8268.2000000000007</v>
      </c>
      <c r="AM84" s="836">
        <f t="shared" si="122"/>
        <v>2100.4000000000005</v>
      </c>
      <c r="AN84" s="836">
        <f t="shared" si="122"/>
        <v>1050.2000000000003</v>
      </c>
      <c r="AO84" s="836">
        <f t="shared" si="122"/>
        <v>0</v>
      </c>
      <c r="AP84" s="836">
        <f t="shared" si="122"/>
        <v>0</v>
      </c>
      <c r="AQ84" s="836">
        <f t="shared" si="122"/>
        <v>104175.4</v>
      </c>
      <c r="AR84" s="836">
        <f t="shared" si="122"/>
        <v>1157.2</v>
      </c>
      <c r="AS84" s="836">
        <f t="shared" si="122"/>
        <v>0</v>
      </c>
      <c r="AT84" s="836">
        <f t="shared" si="122"/>
        <v>112006.39999999999</v>
      </c>
      <c r="AU84" s="836">
        <f t="shared" si="122"/>
        <v>8268.2000000000007</v>
      </c>
      <c r="AV84" s="836">
        <f t="shared" si="122"/>
        <v>0</v>
      </c>
      <c r="AW84" s="836">
        <f t="shared" si="122"/>
        <v>120274.6</v>
      </c>
    </row>
    <row r="85" spans="2:55" s="196" customFormat="1" ht="33">
      <c r="B85" s="770"/>
      <c r="C85" s="844" t="s">
        <v>505</v>
      </c>
      <c r="D85" s="845"/>
      <c r="E85" s="846"/>
      <c r="F85" s="846"/>
      <c r="G85" s="846"/>
      <c r="H85" s="847"/>
      <c r="I85" s="846"/>
      <c r="J85" s="847"/>
      <c r="K85" s="846"/>
      <c r="L85" s="846"/>
      <c r="M85" s="847"/>
      <c r="N85" s="846"/>
      <c r="O85" s="847"/>
      <c r="P85" s="846"/>
      <c r="Q85" s="846"/>
      <c r="R85" s="846"/>
      <c r="S85" s="846"/>
      <c r="T85" s="846"/>
      <c r="U85" s="846"/>
      <c r="V85" s="846"/>
      <c r="W85" s="846"/>
      <c r="X85" s="846"/>
      <c r="Y85" s="846"/>
      <c r="Z85" s="846"/>
      <c r="AA85" s="846"/>
      <c r="AB85" s="846"/>
      <c r="AC85" s="848"/>
      <c r="AD85" s="848"/>
      <c r="AE85" s="849"/>
      <c r="AF85" s="849"/>
      <c r="AG85" s="850"/>
      <c r="AH85" s="849"/>
      <c r="AI85" s="828"/>
      <c r="AJ85" s="828"/>
      <c r="AK85" s="828"/>
      <c r="AL85" s="828"/>
      <c r="AM85" s="828"/>
      <c r="AN85" s="828"/>
      <c r="AO85" s="830"/>
      <c r="AP85" s="830"/>
      <c r="AQ85" s="830"/>
      <c r="AR85" s="830"/>
      <c r="AS85" s="830"/>
      <c r="AT85" s="835"/>
      <c r="AU85" s="835"/>
      <c r="AV85" s="828"/>
      <c r="AW85" s="944"/>
      <c r="BC85" s="197"/>
    </row>
    <row r="86" spans="2:55" s="196" customFormat="1" ht="33">
      <c r="B86" s="770"/>
      <c r="C86" s="851" t="s">
        <v>1720</v>
      </c>
      <c r="D86" s="845"/>
      <c r="E86" s="846"/>
      <c r="F86" s="846"/>
      <c r="G86" s="846"/>
      <c r="H86" s="847"/>
      <c r="I86" s="846"/>
      <c r="J86" s="847"/>
      <c r="K86" s="846"/>
      <c r="L86" s="846"/>
      <c r="M86" s="847"/>
      <c r="N86" s="846"/>
      <c r="O86" s="847"/>
      <c r="P86" s="846"/>
      <c r="Q86" s="846"/>
      <c r="R86" s="846"/>
      <c r="S86" s="846"/>
      <c r="T86" s="846"/>
      <c r="U86" s="846"/>
      <c r="V86" s="846"/>
      <c r="W86" s="846"/>
      <c r="X86" s="846"/>
      <c r="Y86" s="846"/>
      <c r="Z86" s="846"/>
      <c r="AA86" s="846"/>
      <c r="AB86" s="846"/>
      <c r="AC86" s="848"/>
      <c r="AD86" s="848"/>
      <c r="AE86" s="849"/>
      <c r="AF86" s="849"/>
      <c r="AG86" s="850"/>
      <c r="AH86" s="849"/>
      <c r="AI86" s="828"/>
      <c r="AJ86" s="828"/>
      <c r="AK86" s="828"/>
      <c r="AL86" s="828"/>
      <c r="AM86" s="828"/>
      <c r="AN86" s="828"/>
      <c r="AO86" s="830"/>
      <c r="AP86" s="830"/>
      <c r="AQ86" s="830"/>
      <c r="AR86" s="830"/>
      <c r="AS86" s="830"/>
      <c r="AT86" s="835"/>
      <c r="AU86" s="835"/>
      <c r="AV86" s="828"/>
      <c r="AW86" s="944"/>
      <c r="BC86" s="197"/>
    </row>
    <row r="87" spans="2:55" s="765" customFormat="1" ht="58.5" customHeight="1">
      <c r="B87" s="852"/>
      <c r="C87" s="853" t="s">
        <v>508</v>
      </c>
      <c r="D87" s="854" t="s">
        <v>509</v>
      </c>
      <c r="E87" s="852" t="s">
        <v>510</v>
      </c>
      <c r="F87" s="852">
        <v>12</v>
      </c>
      <c r="G87" s="855">
        <v>6133</v>
      </c>
      <c r="H87" s="855"/>
      <c r="I87" s="855"/>
      <c r="J87" s="856">
        <v>0.1</v>
      </c>
      <c r="K87" s="857">
        <f>(G87+I87)*J87</f>
        <v>613.30000000000007</v>
      </c>
      <c r="L87" s="855"/>
      <c r="M87" s="855"/>
      <c r="N87" s="855"/>
      <c r="O87" s="855"/>
      <c r="P87" s="855"/>
      <c r="Q87" s="855"/>
      <c r="R87" s="855">
        <f t="shared" ref="R87:R104" si="123">G87+I87+K87+L87+N87+P87+Q87</f>
        <v>6746.3</v>
      </c>
      <c r="S87" s="855">
        <v>1</v>
      </c>
      <c r="T87" s="855"/>
      <c r="U87" s="855"/>
      <c r="V87" s="855"/>
      <c r="W87" s="855"/>
      <c r="X87" s="858">
        <v>17</v>
      </c>
      <c r="Y87" s="856">
        <v>0.2</v>
      </c>
      <c r="Z87" s="859">
        <f t="shared" ref="Z87:Z104" si="124">R87*Y87</f>
        <v>1349.2600000000002</v>
      </c>
      <c r="AA87" s="855"/>
      <c r="AB87" s="855">
        <f>(R87+Z87)*S87</f>
        <v>8095.56</v>
      </c>
      <c r="AC87" s="860">
        <f t="shared" ref="AC87:AC101" si="125">AF87</f>
        <v>11904.439999999999</v>
      </c>
      <c r="AD87" s="860">
        <f t="shared" ref="AD87:AD101" si="126">AB87+AC87</f>
        <v>20000</v>
      </c>
      <c r="AE87" s="861">
        <f>20000*S87</f>
        <v>20000</v>
      </c>
      <c r="AF87" s="861">
        <f t="shared" ref="AF87:AF101" si="127">AE87-AB87</f>
        <v>11904.439999999999</v>
      </c>
      <c r="AG87" s="862">
        <f t="shared" ref="AG87:AG102" si="128">6700*S87</f>
        <v>6700</v>
      </c>
      <c r="AH87" s="861">
        <f>AB87-AG87</f>
        <v>1395.5600000000004</v>
      </c>
      <c r="AI87" s="863">
        <f t="shared" ref="AI87:AI104" si="129">G87*S87</f>
        <v>6133</v>
      </c>
      <c r="AJ87" s="863">
        <f t="shared" ref="AJ87:AJ104" si="130">G87*T87</f>
        <v>0</v>
      </c>
      <c r="AK87" s="863">
        <f t="shared" ref="AK87:AK104" si="131">R87*S87</f>
        <v>6746.3</v>
      </c>
      <c r="AL87" s="863">
        <f t="shared" ref="AL87:AL104" si="132">R87*T87</f>
        <v>0</v>
      </c>
      <c r="AM87" s="863">
        <f t="shared" ref="AM87:AN104" si="133">AK87-AI87</f>
        <v>613.30000000000018</v>
      </c>
      <c r="AN87" s="863">
        <f t="shared" si="133"/>
        <v>0</v>
      </c>
      <c r="AO87" s="864">
        <f t="shared" ref="AO87:AO104" si="134">Z87*S87</f>
        <v>1349.2600000000002</v>
      </c>
      <c r="AP87" s="864">
        <f t="shared" ref="AP87:AP104" si="135">Z87*T87</f>
        <v>0</v>
      </c>
      <c r="AQ87" s="864">
        <f t="shared" ref="AQ87:AQ104" si="136">AA87</f>
        <v>0</v>
      </c>
      <c r="AR87" s="864">
        <f t="shared" ref="AR87:AR104" si="137">W87*S87</f>
        <v>0</v>
      </c>
      <c r="AS87" s="864">
        <f t="shared" ref="AS87:AS104" si="138">W87*T87</f>
        <v>0</v>
      </c>
      <c r="AT87" s="835">
        <f t="shared" si="120"/>
        <v>6746.3</v>
      </c>
      <c r="AU87" s="835">
        <f t="shared" si="121"/>
        <v>0</v>
      </c>
      <c r="AV87" s="863"/>
      <c r="AW87" s="945">
        <f t="shared" ref="AW87:AW104" si="139">AT87+AU87-AV87</f>
        <v>6746.3</v>
      </c>
      <c r="BC87" s="766"/>
    </row>
    <row r="88" spans="2:55" s="765" customFormat="1" ht="58.5">
      <c r="B88" s="852"/>
      <c r="C88" s="853" t="s">
        <v>508</v>
      </c>
      <c r="D88" s="854" t="s">
        <v>1646</v>
      </c>
      <c r="E88" s="852" t="s">
        <v>1647</v>
      </c>
      <c r="F88" s="852">
        <v>14</v>
      </c>
      <c r="G88" s="855">
        <v>7001</v>
      </c>
      <c r="H88" s="855"/>
      <c r="I88" s="855"/>
      <c r="J88" s="856">
        <v>0.1</v>
      </c>
      <c r="K88" s="857">
        <f>(G88+I88)*J88</f>
        <v>700.1</v>
      </c>
      <c r="L88" s="855"/>
      <c r="M88" s="855"/>
      <c r="N88" s="855"/>
      <c r="O88" s="855"/>
      <c r="P88" s="855"/>
      <c r="Q88" s="855"/>
      <c r="R88" s="855">
        <f t="shared" si="123"/>
        <v>7701.1</v>
      </c>
      <c r="S88" s="855">
        <v>1</v>
      </c>
      <c r="T88" s="855"/>
      <c r="U88" s="855"/>
      <c r="V88" s="855"/>
      <c r="W88" s="855"/>
      <c r="X88" s="858">
        <v>14</v>
      </c>
      <c r="Y88" s="856">
        <v>0.2</v>
      </c>
      <c r="Z88" s="855">
        <f t="shared" si="124"/>
        <v>1540.2200000000003</v>
      </c>
      <c r="AA88" s="855"/>
      <c r="AB88" s="855">
        <f>(R88+Z88)*S88</f>
        <v>9241.32</v>
      </c>
      <c r="AC88" s="860">
        <f t="shared" si="125"/>
        <v>10758.68</v>
      </c>
      <c r="AD88" s="860">
        <f t="shared" si="126"/>
        <v>20000</v>
      </c>
      <c r="AE88" s="861">
        <f t="shared" ref="AE88:AE93" si="140">20000*S88</f>
        <v>20000</v>
      </c>
      <c r="AF88" s="861">
        <f t="shared" si="127"/>
        <v>10758.68</v>
      </c>
      <c r="AG88" s="862">
        <f t="shared" si="128"/>
        <v>6700</v>
      </c>
      <c r="AH88" s="861">
        <f t="shared" ref="AH88:AH101" si="141">AB88-AG88</f>
        <v>2541.3199999999997</v>
      </c>
      <c r="AI88" s="863">
        <f t="shared" si="129"/>
        <v>7001</v>
      </c>
      <c r="AJ88" s="863">
        <f t="shared" si="130"/>
        <v>0</v>
      </c>
      <c r="AK88" s="863">
        <f t="shared" si="131"/>
        <v>7701.1</v>
      </c>
      <c r="AL88" s="863">
        <f t="shared" si="132"/>
        <v>0</v>
      </c>
      <c r="AM88" s="863">
        <f t="shared" si="133"/>
        <v>700.10000000000036</v>
      </c>
      <c r="AN88" s="863">
        <f t="shared" si="133"/>
        <v>0</v>
      </c>
      <c r="AO88" s="864">
        <f t="shared" si="134"/>
        <v>1540.2200000000003</v>
      </c>
      <c r="AP88" s="864">
        <f t="shared" si="135"/>
        <v>0</v>
      </c>
      <c r="AQ88" s="864">
        <f t="shared" si="136"/>
        <v>0</v>
      </c>
      <c r="AR88" s="864">
        <f t="shared" si="137"/>
        <v>0</v>
      </c>
      <c r="AS88" s="864">
        <f t="shared" si="138"/>
        <v>0</v>
      </c>
      <c r="AT88" s="835">
        <f t="shared" si="120"/>
        <v>7701.1</v>
      </c>
      <c r="AU88" s="835">
        <f t="shared" si="121"/>
        <v>0</v>
      </c>
      <c r="AV88" s="863"/>
      <c r="AW88" s="945">
        <f t="shared" si="139"/>
        <v>7701.1</v>
      </c>
    </row>
    <row r="89" spans="2:55" s="765" customFormat="1" ht="58.5" customHeight="1">
      <c r="B89" s="852"/>
      <c r="C89" s="853" t="s">
        <v>1239</v>
      </c>
      <c r="D89" s="854" t="s">
        <v>1650</v>
      </c>
      <c r="E89" s="852" t="s">
        <v>1240</v>
      </c>
      <c r="F89" s="852">
        <v>13</v>
      </c>
      <c r="G89" s="855">
        <v>6567</v>
      </c>
      <c r="H89" s="855"/>
      <c r="I89" s="855"/>
      <c r="J89" s="856">
        <v>0.15</v>
      </c>
      <c r="K89" s="857">
        <f>(G89+I89)*J89</f>
        <v>985.05</v>
      </c>
      <c r="L89" s="855"/>
      <c r="M89" s="855"/>
      <c r="N89" s="855"/>
      <c r="O89" s="855"/>
      <c r="P89" s="855"/>
      <c r="Q89" s="855"/>
      <c r="R89" s="855">
        <f t="shared" si="123"/>
        <v>7552.05</v>
      </c>
      <c r="S89" s="855">
        <v>1</v>
      </c>
      <c r="T89" s="855"/>
      <c r="U89" s="855"/>
      <c r="V89" s="855"/>
      <c r="W89" s="855"/>
      <c r="X89" s="858">
        <v>21</v>
      </c>
      <c r="Y89" s="856">
        <v>0.3</v>
      </c>
      <c r="Z89" s="855">
        <f t="shared" si="124"/>
        <v>2265.6149999999998</v>
      </c>
      <c r="AA89" s="855"/>
      <c r="AB89" s="855">
        <f>(R89+Z89)*S89</f>
        <v>9817.6650000000009</v>
      </c>
      <c r="AC89" s="860">
        <f t="shared" si="125"/>
        <v>10182.334999999999</v>
      </c>
      <c r="AD89" s="860">
        <f t="shared" si="126"/>
        <v>20000</v>
      </c>
      <c r="AE89" s="861">
        <f t="shared" si="140"/>
        <v>20000</v>
      </c>
      <c r="AF89" s="861">
        <f t="shared" si="127"/>
        <v>10182.334999999999</v>
      </c>
      <c r="AG89" s="862">
        <f t="shared" si="128"/>
        <v>6700</v>
      </c>
      <c r="AH89" s="861">
        <f t="shared" si="141"/>
        <v>3117.6650000000009</v>
      </c>
      <c r="AI89" s="863">
        <f t="shared" si="129"/>
        <v>6567</v>
      </c>
      <c r="AJ89" s="863">
        <f t="shared" si="130"/>
        <v>0</v>
      </c>
      <c r="AK89" s="863">
        <f t="shared" si="131"/>
        <v>7552.05</v>
      </c>
      <c r="AL89" s="863">
        <f t="shared" si="132"/>
        <v>0</v>
      </c>
      <c r="AM89" s="863">
        <f t="shared" si="133"/>
        <v>985.05000000000018</v>
      </c>
      <c r="AN89" s="863">
        <f t="shared" si="133"/>
        <v>0</v>
      </c>
      <c r="AO89" s="864">
        <f t="shared" si="134"/>
        <v>2265.6149999999998</v>
      </c>
      <c r="AP89" s="864">
        <f t="shared" si="135"/>
        <v>0</v>
      </c>
      <c r="AQ89" s="864">
        <f t="shared" si="136"/>
        <v>0</v>
      </c>
      <c r="AR89" s="864">
        <f t="shared" si="137"/>
        <v>0</v>
      </c>
      <c r="AS89" s="864">
        <f t="shared" si="138"/>
        <v>0</v>
      </c>
      <c r="AT89" s="835">
        <f t="shared" si="120"/>
        <v>7552.05</v>
      </c>
      <c r="AU89" s="835">
        <f t="shared" si="121"/>
        <v>0</v>
      </c>
      <c r="AV89" s="863"/>
      <c r="AW89" s="945">
        <f t="shared" si="139"/>
        <v>7552.05</v>
      </c>
    </row>
    <row r="90" spans="2:55" s="765" customFormat="1" ht="58.5">
      <c r="B90" s="852"/>
      <c r="C90" s="853" t="s">
        <v>1245</v>
      </c>
      <c r="D90" s="854" t="s">
        <v>783</v>
      </c>
      <c r="E90" s="852" t="s">
        <v>1246</v>
      </c>
      <c r="F90" s="852">
        <v>13</v>
      </c>
      <c r="G90" s="855">
        <v>6567</v>
      </c>
      <c r="H90" s="852"/>
      <c r="I90" s="852"/>
      <c r="J90" s="852"/>
      <c r="K90" s="852"/>
      <c r="L90" s="852"/>
      <c r="M90" s="852"/>
      <c r="N90" s="855"/>
      <c r="O90" s="856">
        <v>0.25</v>
      </c>
      <c r="P90" s="857">
        <f>G90*O90</f>
        <v>1641.75</v>
      </c>
      <c r="Q90" s="856"/>
      <c r="R90" s="855">
        <f t="shared" si="123"/>
        <v>8208.75</v>
      </c>
      <c r="S90" s="855">
        <v>1</v>
      </c>
      <c r="T90" s="855"/>
      <c r="U90" s="865"/>
      <c r="V90" s="856"/>
      <c r="W90" s="865"/>
      <c r="X90" s="865">
        <v>32</v>
      </c>
      <c r="Y90" s="856">
        <v>0.3</v>
      </c>
      <c r="Z90" s="855">
        <f t="shared" si="124"/>
        <v>2462.625</v>
      </c>
      <c r="AA90" s="855"/>
      <c r="AB90" s="855">
        <f>(R90+Z90)*S90</f>
        <v>10671.375</v>
      </c>
      <c r="AC90" s="860">
        <f t="shared" si="125"/>
        <v>9328.625</v>
      </c>
      <c r="AD90" s="860">
        <f t="shared" si="126"/>
        <v>20000</v>
      </c>
      <c r="AE90" s="861">
        <f t="shared" si="140"/>
        <v>20000</v>
      </c>
      <c r="AF90" s="861">
        <f t="shared" si="127"/>
        <v>9328.625</v>
      </c>
      <c r="AG90" s="862">
        <f t="shared" si="128"/>
        <v>6700</v>
      </c>
      <c r="AH90" s="861">
        <f t="shared" si="141"/>
        <v>3971.375</v>
      </c>
      <c r="AI90" s="863">
        <f t="shared" si="129"/>
        <v>6567</v>
      </c>
      <c r="AJ90" s="863">
        <f t="shared" si="130"/>
        <v>0</v>
      </c>
      <c r="AK90" s="863">
        <f t="shared" si="131"/>
        <v>8208.75</v>
      </c>
      <c r="AL90" s="863">
        <f t="shared" si="132"/>
        <v>0</v>
      </c>
      <c r="AM90" s="863">
        <f t="shared" si="133"/>
        <v>1641.75</v>
      </c>
      <c r="AN90" s="863">
        <f t="shared" si="133"/>
        <v>0</v>
      </c>
      <c r="AO90" s="864">
        <f t="shared" si="134"/>
        <v>2462.625</v>
      </c>
      <c r="AP90" s="864">
        <f t="shared" si="135"/>
        <v>0</v>
      </c>
      <c r="AQ90" s="864">
        <f t="shared" si="136"/>
        <v>0</v>
      </c>
      <c r="AR90" s="864">
        <f t="shared" si="137"/>
        <v>0</v>
      </c>
      <c r="AS90" s="864">
        <f t="shared" si="138"/>
        <v>0</v>
      </c>
      <c r="AT90" s="835">
        <f t="shared" si="120"/>
        <v>8208.75</v>
      </c>
      <c r="AU90" s="835">
        <f t="shared" si="121"/>
        <v>0</v>
      </c>
      <c r="AV90" s="863"/>
      <c r="AW90" s="945">
        <f t="shared" si="139"/>
        <v>8208.75</v>
      </c>
    </row>
    <row r="91" spans="2:55" s="765" customFormat="1" ht="58.5">
      <c r="B91" s="852"/>
      <c r="C91" s="853" t="s">
        <v>1247</v>
      </c>
      <c r="D91" s="854" t="s">
        <v>1651</v>
      </c>
      <c r="E91" s="866" t="s">
        <v>1652</v>
      </c>
      <c r="F91" s="852">
        <v>10</v>
      </c>
      <c r="G91" s="855">
        <v>5265</v>
      </c>
      <c r="H91" s="855"/>
      <c r="I91" s="855"/>
      <c r="J91" s="855"/>
      <c r="K91" s="855"/>
      <c r="L91" s="855"/>
      <c r="M91" s="855"/>
      <c r="N91" s="855"/>
      <c r="O91" s="855"/>
      <c r="P91" s="855"/>
      <c r="Q91" s="855"/>
      <c r="R91" s="855">
        <f t="shared" si="123"/>
        <v>5265</v>
      </c>
      <c r="S91" s="855">
        <v>1</v>
      </c>
      <c r="T91" s="855"/>
      <c r="U91" s="855"/>
      <c r="V91" s="855"/>
      <c r="W91" s="855"/>
      <c r="X91" s="852">
        <v>1</v>
      </c>
      <c r="Y91" s="856">
        <v>0</v>
      </c>
      <c r="Z91" s="855">
        <f t="shared" si="124"/>
        <v>0</v>
      </c>
      <c r="AA91" s="855">
        <f>AH91</f>
        <v>1435</v>
      </c>
      <c r="AB91" s="855">
        <f>(R91+Z91)*S91+AA91</f>
        <v>6700</v>
      </c>
      <c r="AC91" s="860">
        <f t="shared" si="125"/>
        <v>13300</v>
      </c>
      <c r="AD91" s="860">
        <f t="shared" si="126"/>
        <v>20000</v>
      </c>
      <c r="AE91" s="861">
        <f t="shared" si="140"/>
        <v>20000</v>
      </c>
      <c r="AF91" s="861">
        <f t="shared" si="127"/>
        <v>13300</v>
      </c>
      <c r="AG91" s="862">
        <f t="shared" si="128"/>
        <v>6700</v>
      </c>
      <c r="AH91" s="861">
        <f>AG91-(R91*S91)</f>
        <v>1435</v>
      </c>
      <c r="AI91" s="863">
        <f t="shared" si="129"/>
        <v>5265</v>
      </c>
      <c r="AJ91" s="863">
        <f t="shared" si="130"/>
        <v>0</v>
      </c>
      <c r="AK91" s="863">
        <f>R91*S91</f>
        <v>5265</v>
      </c>
      <c r="AL91" s="863">
        <f>R91*T91</f>
        <v>0</v>
      </c>
      <c r="AM91" s="863">
        <f>AK91-AI91</f>
        <v>0</v>
      </c>
      <c r="AN91" s="863">
        <f>AL91-AJ91</f>
        <v>0</v>
      </c>
      <c r="AO91" s="864">
        <f>Z91*S91</f>
        <v>0</v>
      </c>
      <c r="AP91" s="864">
        <f>Z91*T91</f>
        <v>0</v>
      </c>
      <c r="AQ91" s="864">
        <f>AA91</f>
        <v>1435</v>
      </c>
      <c r="AR91" s="864">
        <f>W91*S91</f>
        <v>0</v>
      </c>
      <c r="AS91" s="864">
        <f>W91*T91</f>
        <v>0</v>
      </c>
      <c r="AT91" s="835">
        <f t="shared" si="120"/>
        <v>5265</v>
      </c>
      <c r="AU91" s="835">
        <f t="shared" si="121"/>
        <v>0</v>
      </c>
      <c r="AV91" s="863"/>
      <c r="AW91" s="945">
        <f t="shared" si="139"/>
        <v>5265</v>
      </c>
    </row>
    <row r="92" spans="2:55" s="767" customFormat="1" ht="58.5">
      <c r="B92" s="852"/>
      <c r="C92" s="853" t="s">
        <v>1247</v>
      </c>
      <c r="D92" s="854" t="s">
        <v>535</v>
      </c>
      <c r="E92" s="866" t="s">
        <v>536</v>
      </c>
      <c r="F92" s="852">
        <v>10</v>
      </c>
      <c r="G92" s="855">
        <v>5265</v>
      </c>
      <c r="H92" s="855"/>
      <c r="I92" s="855"/>
      <c r="J92" s="855"/>
      <c r="K92" s="855"/>
      <c r="L92" s="855"/>
      <c r="M92" s="855"/>
      <c r="N92" s="855"/>
      <c r="O92" s="855"/>
      <c r="P92" s="855"/>
      <c r="Q92" s="855"/>
      <c r="R92" s="855">
        <f t="shared" si="123"/>
        <v>5265</v>
      </c>
      <c r="S92" s="855">
        <v>1</v>
      </c>
      <c r="T92" s="855"/>
      <c r="U92" s="855"/>
      <c r="V92" s="855"/>
      <c r="W92" s="855"/>
      <c r="X92" s="852">
        <v>0</v>
      </c>
      <c r="Y92" s="856">
        <v>0</v>
      </c>
      <c r="Z92" s="855">
        <f t="shared" si="124"/>
        <v>0</v>
      </c>
      <c r="AA92" s="855">
        <f>AH92</f>
        <v>1435</v>
      </c>
      <c r="AB92" s="855">
        <f>(R92+Z92)*S92+AA92</f>
        <v>6700</v>
      </c>
      <c r="AC92" s="860">
        <f t="shared" si="125"/>
        <v>13300</v>
      </c>
      <c r="AD92" s="860">
        <f t="shared" si="126"/>
        <v>20000</v>
      </c>
      <c r="AE92" s="861">
        <f t="shared" si="140"/>
        <v>20000</v>
      </c>
      <c r="AF92" s="861">
        <f t="shared" si="127"/>
        <v>13300</v>
      </c>
      <c r="AG92" s="862">
        <f t="shared" si="128"/>
        <v>6700</v>
      </c>
      <c r="AH92" s="861">
        <f>AG92-(R92*S92)</f>
        <v>1435</v>
      </c>
      <c r="AI92" s="863">
        <f t="shared" si="129"/>
        <v>5265</v>
      </c>
      <c r="AJ92" s="863">
        <f t="shared" si="130"/>
        <v>0</v>
      </c>
      <c r="AK92" s="863">
        <f t="shared" si="131"/>
        <v>5265</v>
      </c>
      <c r="AL92" s="863">
        <f t="shared" si="132"/>
        <v>0</v>
      </c>
      <c r="AM92" s="863">
        <f t="shared" si="133"/>
        <v>0</v>
      </c>
      <c r="AN92" s="863">
        <f t="shared" si="133"/>
        <v>0</v>
      </c>
      <c r="AO92" s="864">
        <f t="shared" si="134"/>
        <v>0</v>
      </c>
      <c r="AP92" s="864">
        <f t="shared" si="135"/>
        <v>0</v>
      </c>
      <c r="AQ92" s="864">
        <f t="shared" si="136"/>
        <v>1435</v>
      </c>
      <c r="AR92" s="864">
        <f t="shared" si="137"/>
        <v>0</v>
      </c>
      <c r="AS92" s="864">
        <f t="shared" si="138"/>
        <v>0</v>
      </c>
      <c r="AT92" s="835">
        <f t="shared" si="120"/>
        <v>5265</v>
      </c>
      <c r="AU92" s="835">
        <f t="shared" si="121"/>
        <v>0</v>
      </c>
      <c r="AV92" s="863"/>
      <c r="AW92" s="945">
        <f t="shared" si="139"/>
        <v>5265</v>
      </c>
    </row>
    <row r="93" spans="2:55" s="767" customFormat="1" ht="58.5">
      <c r="B93" s="852"/>
      <c r="C93" s="853" t="s">
        <v>1248</v>
      </c>
      <c r="D93" s="854" t="s">
        <v>506</v>
      </c>
      <c r="E93" s="852" t="s">
        <v>507</v>
      </c>
      <c r="F93" s="852">
        <v>13</v>
      </c>
      <c r="G93" s="855">
        <v>6567</v>
      </c>
      <c r="H93" s="852"/>
      <c r="I93" s="852"/>
      <c r="J93" s="855"/>
      <c r="K93" s="855"/>
      <c r="L93" s="852"/>
      <c r="M93" s="852"/>
      <c r="N93" s="855"/>
      <c r="O93" s="852"/>
      <c r="P93" s="852"/>
      <c r="Q93" s="852"/>
      <c r="R93" s="855">
        <f t="shared" si="123"/>
        <v>6567</v>
      </c>
      <c r="S93" s="855">
        <v>1</v>
      </c>
      <c r="T93" s="855"/>
      <c r="U93" s="852"/>
      <c r="V93" s="852"/>
      <c r="W93" s="852"/>
      <c r="X93" s="852">
        <v>37</v>
      </c>
      <c r="Y93" s="856">
        <v>0.3</v>
      </c>
      <c r="Z93" s="855">
        <f t="shared" si="124"/>
        <v>1970.1</v>
      </c>
      <c r="AA93" s="855"/>
      <c r="AB93" s="855">
        <f>(R93+Z93)*S93+AA93</f>
        <v>8537.1</v>
      </c>
      <c r="AC93" s="860">
        <f t="shared" si="125"/>
        <v>11462.9</v>
      </c>
      <c r="AD93" s="860">
        <f t="shared" si="126"/>
        <v>20000</v>
      </c>
      <c r="AE93" s="861">
        <f t="shared" si="140"/>
        <v>20000</v>
      </c>
      <c r="AF93" s="861">
        <f t="shared" si="127"/>
        <v>11462.9</v>
      </c>
      <c r="AG93" s="862">
        <f t="shared" si="128"/>
        <v>6700</v>
      </c>
      <c r="AH93" s="861">
        <f>AB93-AG93</f>
        <v>1837.1000000000004</v>
      </c>
      <c r="AI93" s="863">
        <f t="shared" si="129"/>
        <v>6567</v>
      </c>
      <c r="AJ93" s="863">
        <f t="shared" si="130"/>
        <v>0</v>
      </c>
      <c r="AK93" s="863">
        <f t="shared" si="131"/>
        <v>6567</v>
      </c>
      <c r="AL93" s="863">
        <f t="shared" si="132"/>
        <v>0</v>
      </c>
      <c r="AM93" s="863">
        <f t="shared" si="133"/>
        <v>0</v>
      </c>
      <c r="AN93" s="863">
        <f t="shared" si="133"/>
        <v>0</v>
      </c>
      <c r="AO93" s="864">
        <f t="shared" si="134"/>
        <v>1970.1</v>
      </c>
      <c r="AP93" s="864">
        <f t="shared" si="135"/>
        <v>0</v>
      </c>
      <c r="AQ93" s="864">
        <f t="shared" si="136"/>
        <v>0</v>
      </c>
      <c r="AR93" s="864">
        <f t="shared" si="137"/>
        <v>0</v>
      </c>
      <c r="AS93" s="864">
        <f t="shared" si="138"/>
        <v>0</v>
      </c>
      <c r="AT93" s="835">
        <f t="shared" si="120"/>
        <v>6567</v>
      </c>
      <c r="AU93" s="835">
        <f t="shared" si="121"/>
        <v>0</v>
      </c>
      <c r="AV93" s="863"/>
      <c r="AW93" s="945">
        <f t="shared" si="139"/>
        <v>6567</v>
      </c>
    </row>
    <row r="94" spans="2:55" s="765" customFormat="1" ht="58.5" customHeight="1">
      <c r="B94" s="852"/>
      <c r="C94" s="853" t="s">
        <v>1253</v>
      </c>
      <c r="D94" s="854" t="s">
        <v>1653</v>
      </c>
      <c r="E94" s="852" t="s">
        <v>1254</v>
      </c>
      <c r="F94" s="852">
        <v>10</v>
      </c>
      <c r="G94" s="855">
        <v>5265</v>
      </c>
      <c r="H94" s="852"/>
      <c r="I94" s="852"/>
      <c r="J94" s="852"/>
      <c r="K94" s="852"/>
      <c r="L94" s="852"/>
      <c r="M94" s="852"/>
      <c r="N94" s="855"/>
      <c r="O94" s="856">
        <v>0.15</v>
      </c>
      <c r="P94" s="857">
        <f>G94*O94</f>
        <v>789.75</v>
      </c>
      <c r="Q94" s="856"/>
      <c r="R94" s="855">
        <f t="shared" si="123"/>
        <v>6054.75</v>
      </c>
      <c r="S94" s="855">
        <v>0.75</v>
      </c>
      <c r="T94" s="855"/>
      <c r="U94" s="865"/>
      <c r="V94" s="856"/>
      <c r="W94" s="865"/>
      <c r="X94" s="865">
        <v>9</v>
      </c>
      <c r="Y94" s="856">
        <v>0.1</v>
      </c>
      <c r="Z94" s="855">
        <f t="shared" si="124"/>
        <v>605.47500000000002</v>
      </c>
      <c r="AA94" s="855">
        <f>AH94</f>
        <v>29.831249999999272</v>
      </c>
      <c r="AB94" s="855">
        <f>(R94+Z94)*S94+AA94</f>
        <v>5025</v>
      </c>
      <c r="AC94" s="860">
        <f>AF94</f>
        <v>9975</v>
      </c>
      <c r="AD94" s="860">
        <f>AB94+AC94</f>
        <v>15000</v>
      </c>
      <c r="AE94" s="861">
        <f>20000*S94</f>
        <v>15000</v>
      </c>
      <c r="AF94" s="861">
        <f>AE94-AB94</f>
        <v>9975</v>
      </c>
      <c r="AG94" s="862">
        <f>6700*S94</f>
        <v>5025</v>
      </c>
      <c r="AH94" s="861">
        <f>AG94-((R94+Z94)*S94)</f>
        <v>29.831249999999272</v>
      </c>
      <c r="AI94" s="863">
        <f t="shared" si="129"/>
        <v>3948.75</v>
      </c>
      <c r="AJ94" s="863">
        <f t="shared" si="130"/>
        <v>0</v>
      </c>
      <c r="AK94" s="863">
        <f t="shared" si="131"/>
        <v>4541.0625</v>
      </c>
      <c r="AL94" s="863">
        <f t="shared" si="132"/>
        <v>0</v>
      </c>
      <c r="AM94" s="863">
        <f t="shared" si="133"/>
        <v>592.3125</v>
      </c>
      <c r="AN94" s="863">
        <f t="shared" si="133"/>
        <v>0</v>
      </c>
      <c r="AO94" s="864">
        <f t="shared" si="134"/>
        <v>454.10625000000005</v>
      </c>
      <c r="AP94" s="864">
        <f t="shared" si="135"/>
        <v>0</v>
      </c>
      <c r="AQ94" s="864">
        <f t="shared" si="136"/>
        <v>29.831249999999272</v>
      </c>
      <c r="AR94" s="864">
        <f t="shared" si="137"/>
        <v>0</v>
      </c>
      <c r="AS94" s="864">
        <f t="shared" si="138"/>
        <v>0</v>
      </c>
      <c r="AT94" s="835">
        <f t="shared" si="120"/>
        <v>4541.0625</v>
      </c>
      <c r="AU94" s="835">
        <f t="shared" si="121"/>
        <v>0</v>
      </c>
      <c r="AV94" s="863"/>
      <c r="AW94" s="945">
        <f t="shared" si="139"/>
        <v>4541.0625</v>
      </c>
    </row>
    <row r="95" spans="2:55" s="765" customFormat="1" ht="58.5" customHeight="1">
      <c r="B95" s="852"/>
      <c r="C95" s="853" t="s">
        <v>1253</v>
      </c>
      <c r="D95" s="854" t="s">
        <v>1255</v>
      </c>
      <c r="E95" s="852" t="s">
        <v>1256</v>
      </c>
      <c r="F95" s="852">
        <v>12</v>
      </c>
      <c r="G95" s="855">
        <v>6133</v>
      </c>
      <c r="H95" s="852"/>
      <c r="I95" s="852"/>
      <c r="J95" s="852"/>
      <c r="K95" s="852"/>
      <c r="L95" s="852"/>
      <c r="M95" s="852"/>
      <c r="N95" s="855"/>
      <c r="O95" s="856">
        <v>0.15</v>
      </c>
      <c r="P95" s="857">
        <f>G95*O95</f>
        <v>919.94999999999993</v>
      </c>
      <c r="Q95" s="856"/>
      <c r="R95" s="855">
        <f t="shared" si="123"/>
        <v>7052.95</v>
      </c>
      <c r="S95" s="855"/>
      <c r="T95" s="855">
        <v>0.5</v>
      </c>
      <c r="U95" s="865"/>
      <c r="V95" s="856"/>
      <c r="W95" s="865"/>
      <c r="X95" s="865">
        <v>15</v>
      </c>
      <c r="Y95" s="856">
        <v>0.2</v>
      </c>
      <c r="Z95" s="855">
        <f t="shared" si="124"/>
        <v>1410.5900000000001</v>
      </c>
      <c r="AA95" s="857"/>
      <c r="AB95" s="855">
        <f>(R95+Z95)*T95+AA95</f>
        <v>4231.7700000000004</v>
      </c>
      <c r="AC95" s="860">
        <f t="shared" si="125"/>
        <v>5768.23</v>
      </c>
      <c r="AD95" s="860">
        <f t="shared" si="126"/>
        <v>10000</v>
      </c>
      <c r="AE95" s="861">
        <f>20000*T95</f>
        <v>10000</v>
      </c>
      <c r="AF95" s="861">
        <f t="shared" si="127"/>
        <v>5768.23</v>
      </c>
      <c r="AG95" s="862">
        <f>6700*T95</f>
        <v>3350</v>
      </c>
      <c r="AH95" s="861">
        <f t="shared" si="141"/>
        <v>881.77000000000044</v>
      </c>
      <c r="AI95" s="863">
        <f t="shared" si="129"/>
        <v>0</v>
      </c>
      <c r="AJ95" s="863">
        <f t="shared" si="130"/>
        <v>3066.5</v>
      </c>
      <c r="AK95" s="863">
        <f t="shared" si="131"/>
        <v>0</v>
      </c>
      <c r="AL95" s="863">
        <f t="shared" si="132"/>
        <v>3526.4749999999999</v>
      </c>
      <c r="AM95" s="863">
        <f t="shared" si="133"/>
        <v>0</v>
      </c>
      <c r="AN95" s="863">
        <f t="shared" si="133"/>
        <v>459.97499999999991</v>
      </c>
      <c r="AO95" s="864">
        <f t="shared" si="134"/>
        <v>0</v>
      </c>
      <c r="AP95" s="864">
        <f t="shared" si="135"/>
        <v>705.29500000000007</v>
      </c>
      <c r="AQ95" s="864">
        <f t="shared" si="136"/>
        <v>0</v>
      </c>
      <c r="AR95" s="864">
        <f t="shared" si="137"/>
        <v>0</v>
      </c>
      <c r="AS95" s="864">
        <f t="shared" si="138"/>
        <v>0</v>
      </c>
      <c r="AT95" s="835">
        <f t="shared" si="120"/>
        <v>0</v>
      </c>
      <c r="AU95" s="835">
        <f t="shared" si="121"/>
        <v>3526.4749999999999</v>
      </c>
      <c r="AV95" s="863"/>
      <c r="AW95" s="945">
        <f t="shared" si="139"/>
        <v>3526.4749999999999</v>
      </c>
    </row>
    <row r="96" spans="2:55" s="765" customFormat="1" ht="33">
      <c r="B96" s="852"/>
      <c r="C96" s="853" t="s">
        <v>512</v>
      </c>
      <c r="D96" s="854"/>
      <c r="E96" s="852" t="s">
        <v>511</v>
      </c>
      <c r="F96" s="852">
        <v>13</v>
      </c>
      <c r="G96" s="855">
        <v>6567</v>
      </c>
      <c r="H96" s="852"/>
      <c r="I96" s="852"/>
      <c r="J96" s="852"/>
      <c r="K96" s="852"/>
      <c r="L96" s="852"/>
      <c r="M96" s="852"/>
      <c r="N96" s="855"/>
      <c r="O96" s="856">
        <v>0.15</v>
      </c>
      <c r="P96" s="857">
        <f>G96*O96</f>
        <v>985.05</v>
      </c>
      <c r="Q96" s="856"/>
      <c r="R96" s="855">
        <f t="shared" si="123"/>
        <v>7552.05</v>
      </c>
      <c r="S96" s="855">
        <v>0.25</v>
      </c>
      <c r="T96" s="855"/>
      <c r="U96" s="865"/>
      <c r="V96" s="856"/>
      <c r="W96" s="865"/>
      <c r="X96" s="865"/>
      <c r="Y96" s="856"/>
      <c r="Z96" s="855">
        <f t="shared" si="124"/>
        <v>0</v>
      </c>
      <c r="AA96" s="855"/>
      <c r="AB96" s="855">
        <f t="shared" ref="AB96:AB101" si="142">(R96+Z96)*S96</f>
        <v>1888.0125</v>
      </c>
      <c r="AC96" s="860">
        <f>AF96</f>
        <v>3111.9875000000002</v>
      </c>
      <c r="AD96" s="860">
        <f>AB96+AC96</f>
        <v>5000</v>
      </c>
      <c r="AE96" s="861">
        <f t="shared" ref="AE96:AE101" si="143">20000*S96</f>
        <v>5000</v>
      </c>
      <c r="AF96" s="861">
        <f>AE96-AB96</f>
        <v>3111.9875000000002</v>
      </c>
      <c r="AG96" s="862">
        <f t="shared" si="128"/>
        <v>1675</v>
      </c>
      <c r="AH96" s="861">
        <f t="shared" si="141"/>
        <v>213.01250000000005</v>
      </c>
      <c r="AI96" s="863">
        <f t="shared" si="129"/>
        <v>1641.75</v>
      </c>
      <c r="AJ96" s="863">
        <f t="shared" si="130"/>
        <v>0</v>
      </c>
      <c r="AK96" s="863">
        <f t="shared" si="131"/>
        <v>1888.0125</v>
      </c>
      <c r="AL96" s="863">
        <f t="shared" si="132"/>
        <v>0</v>
      </c>
      <c r="AM96" s="863">
        <f t="shared" si="133"/>
        <v>246.26250000000005</v>
      </c>
      <c r="AN96" s="863">
        <f t="shared" si="133"/>
        <v>0</v>
      </c>
      <c r="AO96" s="864">
        <f t="shared" si="134"/>
        <v>0</v>
      </c>
      <c r="AP96" s="864">
        <f t="shared" si="135"/>
        <v>0</v>
      </c>
      <c r="AQ96" s="864">
        <f t="shared" si="136"/>
        <v>0</v>
      </c>
      <c r="AR96" s="864">
        <f t="shared" si="137"/>
        <v>0</v>
      </c>
      <c r="AS96" s="864">
        <f t="shared" si="138"/>
        <v>0</v>
      </c>
      <c r="AT96" s="835">
        <f t="shared" si="120"/>
        <v>1888.0125</v>
      </c>
      <c r="AU96" s="835">
        <f t="shared" si="121"/>
        <v>0</v>
      </c>
      <c r="AV96" s="863"/>
      <c r="AW96" s="945">
        <f t="shared" si="139"/>
        <v>1888.0125</v>
      </c>
    </row>
    <row r="97" spans="2:55" s="765" customFormat="1" ht="58.5">
      <c r="B97" s="852"/>
      <c r="C97" s="853" t="s">
        <v>514</v>
      </c>
      <c r="D97" s="854" t="s">
        <v>515</v>
      </c>
      <c r="E97" s="852" t="s">
        <v>516</v>
      </c>
      <c r="F97" s="852">
        <v>12</v>
      </c>
      <c r="G97" s="855">
        <v>6133</v>
      </c>
      <c r="H97" s="855"/>
      <c r="I97" s="855"/>
      <c r="J97" s="855"/>
      <c r="K97" s="855"/>
      <c r="L97" s="855"/>
      <c r="M97" s="855"/>
      <c r="N97" s="855"/>
      <c r="O97" s="855"/>
      <c r="P97" s="855"/>
      <c r="Q97" s="855"/>
      <c r="R97" s="855">
        <f t="shared" si="123"/>
        <v>6133</v>
      </c>
      <c r="S97" s="855">
        <v>1</v>
      </c>
      <c r="T97" s="855"/>
      <c r="U97" s="855"/>
      <c r="V97" s="855"/>
      <c r="W97" s="855"/>
      <c r="X97" s="859">
        <v>23</v>
      </c>
      <c r="Y97" s="856">
        <v>0.3</v>
      </c>
      <c r="Z97" s="855">
        <f t="shared" si="124"/>
        <v>1839.8999999999999</v>
      </c>
      <c r="AA97" s="855"/>
      <c r="AB97" s="855">
        <f t="shared" si="142"/>
        <v>7972.9</v>
      </c>
      <c r="AC97" s="860">
        <f t="shared" si="125"/>
        <v>12027.1</v>
      </c>
      <c r="AD97" s="860">
        <f t="shared" si="126"/>
        <v>20000</v>
      </c>
      <c r="AE97" s="861">
        <f t="shared" si="143"/>
        <v>20000</v>
      </c>
      <c r="AF97" s="861">
        <f t="shared" si="127"/>
        <v>12027.1</v>
      </c>
      <c r="AG97" s="862">
        <f t="shared" si="128"/>
        <v>6700</v>
      </c>
      <c r="AH97" s="861">
        <f t="shared" si="141"/>
        <v>1272.8999999999996</v>
      </c>
      <c r="AI97" s="863">
        <f t="shared" si="129"/>
        <v>6133</v>
      </c>
      <c r="AJ97" s="863">
        <f t="shared" si="130"/>
        <v>0</v>
      </c>
      <c r="AK97" s="863">
        <f t="shared" si="131"/>
        <v>6133</v>
      </c>
      <c r="AL97" s="863">
        <f t="shared" si="132"/>
        <v>0</v>
      </c>
      <c r="AM97" s="863">
        <f t="shared" si="133"/>
        <v>0</v>
      </c>
      <c r="AN97" s="863">
        <f t="shared" si="133"/>
        <v>0</v>
      </c>
      <c r="AO97" s="864">
        <f t="shared" si="134"/>
        <v>1839.8999999999999</v>
      </c>
      <c r="AP97" s="864">
        <f t="shared" si="135"/>
        <v>0</v>
      </c>
      <c r="AQ97" s="864">
        <f t="shared" si="136"/>
        <v>0</v>
      </c>
      <c r="AR97" s="864">
        <f t="shared" si="137"/>
        <v>0</v>
      </c>
      <c r="AS97" s="864">
        <f t="shared" si="138"/>
        <v>0</v>
      </c>
      <c r="AT97" s="835">
        <f t="shared" si="120"/>
        <v>6133</v>
      </c>
      <c r="AU97" s="835">
        <f t="shared" si="121"/>
        <v>0</v>
      </c>
      <c r="AV97" s="863"/>
      <c r="AW97" s="945">
        <f t="shared" si="139"/>
        <v>6133</v>
      </c>
    </row>
    <row r="98" spans="2:55" s="765" customFormat="1" ht="58.5">
      <c r="B98" s="852"/>
      <c r="C98" s="853" t="s">
        <v>517</v>
      </c>
      <c r="D98" s="854" t="s">
        <v>518</v>
      </c>
      <c r="E98" s="852" t="s">
        <v>519</v>
      </c>
      <c r="F98" s="852">
        <v>13</v>
      </c>
      <c r="G98" s="855">
        <v>6567</v>
      </c>
      <c r="H98" s="855"/>
      <c r="I98" s="855"/>
      <c r="J98" s="855"/>
      <c r="K98" s="855"/>
      <c r="L98" s="855"/>
      <c r="M98" s="855"/>
      <c r="N98" s="855"/>
      <c r="O98" s="856">
        <v>0.15</v>
      </c>
      <c r="P98" s="857">
        <f>G98*O98</f>
        <v>985.05</v>
      </c>
      <c r="Q98" s="856"/>
      <c r="R98" s="855">
        <f t="shared" si="123"/>
        <v>7552.05</v>
      </c>
      <c r="S98" s="855">
        <v>1</v>
      </c>
      <c r="T98" s="855"/>
      <c r="U98" s="855"/>
      <c r="V98" s="856"/>
      <c r="W98" s="855"/>
      <c r="X98" s="858">
        <v>24</v>
      </c>
      <c r="Y98" s="856">
        <v>0.3</v>
      </c>
      <c r="Z98" s="855">
        <f t="shared" si="124"/>
        <v>2265.6149999999998</v>
      </c>
      <c r="AA98" s="855"/>
      <c r="AB98" s="855">
        <f t="shared" si="142"/>
        <v>9817.6650000000009</v>
      </c>
      <c r="AC98" s="860">
        <f t="shared" si="125"/>
        <v>10182.334999999999</v>
      </c>
      <c r="AD98" s="860">
        <f t="shared" si="126"/>
        <v>20000</v>
      </c>
      <c r="AE98" s="861">
        <f t="shared" si="143"/>
        <v>20000</v>
      </c>
      <c r="AF98" s="861">
        <f t="shared" si="127"/>
        <v>10182.334999999999</v>
      </c>
      <c r="AG98" s="862">
        <f t="shared" si="128"/>
        <v>6700</v>
      </c>
      <c r="AH98" s="861">
        <f t="shared" si="141"/>
        <v>3117.6650000000009</v>
      </c>
      <c r="AI98" s="863">
        <f>G98*S98</f>
        <v>6567</v>
      </c>
      <c r="AJ98" s="863">
        <f t="shared" si="130"/>
        <v>0</v>
      </c>
      <c r="AK98" s="863">
        <f t="shared" si="131"/>
        <v>7552.05</v>
      </c>
      <c r="AL98" s="863">
        <f t="shared" si="132"/>
        <v>0</v>
      </c>
      <c r="AM98" s="863">
        <f t="shared" si="133"/>
        <v>985.05000000000018</v>
      </c>
      <c r="AN98" s="863">
        <f t="shared" si="133"/>
        <v>0</v>
      </c>
      <c r="AO98" s="864">
        <f t="shared" si="134"/>
        <v>2265.6149999999998</v>
      </c>
      <c r="AP98" s="864">
        <f t="shared" si="135"/>
        <v>0</v>
      </c>
      <c r="AQ98" s="864">
        <f t="shared" si="136"/>
        <v>0</v>
      </c>
      <c r="AR98" s="864">
        <f t="shared" si="137"/>
        <v>0</v>
      </c>
      <c r="AS98" s="864">
        <f t="shared" si="138"/>
        <v>0</v>
      </c>
      <c r="AT98" s="835">
        <f t="shared" si="120"/>
        <v>7552.05</v>
      </c>
      <c r="AU98" s="835">
        <f t="shared" si="121"/>
        <v>0</v>
      </c>
      <c r="AV98" s="863"/>
      <c r="AW98" s="945">
        <f t="shared" si="139"/>
        <v>7552.05</v>
      </c>
    </row>
    <row r="99" spans="2:55" s="765" customFormat="1" ht="33">
      <c r="B99" s="852"/>
      <c r="C99" s="853" t="s">
        <v>520</v>
      </c>
      <c r="D99" s="854"/>
      <c r="E99" s="852" t="s">
        <v>511</v>
      </c>
      <c r="F99" s="852">
        <v>13</v>
      </c>
      <c r="G99" s="855">
        <v>6567</v>
      </c>
      <c r="H99" s="852"/>
      <c r="I99" s="852"/>
      <c r="J99" s="852"/>
      <c r="K99" s="852"/>
      <c r="L99" s="852"/>
      <c r="M99" s="852"/>
      <c r="N99" s="855"/>
      <c r="O99" s="856">
        <v>0.25</v>
      </c>
      <c r="P99" s="857">
        <f>G99*O99</f>
        <v>1641.75</v>
      </c>
      <c r="Q99" s="856"/>
      <c r="R99" s="855">
        <f t="shared" si="123"/>
        <v>8208.75</v>
      </c>
      <c r="S99" s="855"/>
      <c r="T99" s="855">
        <v>0.5</v>
      </c>
      <c r="U99" s="865"/>
      <c r="V99" s="856"/>
      <c r="W99" s="865"/>
      <c r="X99" s="865">
        <v>0</v>
      </c>
      <c r="Y99" s="856">
        <v>0</v>
      </c>
      <c r="Z99" s="855">
        <f>R99*Y99</f>
        <v>0</v>
      </c>
      <c r="AA99" s="857"/>
      <c r="AB99" s="855">
        <f>(R99+Z99)*T99+AA99</f>
        <v>4104.375</v>
      </c>
      <c r="AC99" s="860">
        <f>AF99</f>
        <v>5895.625</v>
      </c>
      <c r="AD99" s="860">
        <f>AB99+AC99</f>
        <v>10000</v>
      </c>
      <c r="AE99" s="861">
        <f>20000*T99</f>
        <v>10000</v>
      </c>
      <c r="AF99" s="861">
        <f>AE99-AB99</f>
        <v>5895.625</v>
      </c>
      <c r="AG99" s="862">
        <f>6700*T99</f>
        <v>3350</v>
      </c>
      <c r="AH99" s="861">
        <f>AB99-AG99</f>
        <v>754.375</v>
      </c>
      <c r="AI99" s="863">
        <f>G99*S99</f>
        <v>0</v>
      </c>
      <c r="AJ99" s="863">
        <f>G99*T99</f>
        <v>3283.5</v>
      </c>
      <c r="AK99" s="863">
        <f>R99*S99</f>
        <v>0</v>
      </c>
      <c r="AL99" s="863">
        <f>R99*T99</f>
        <v>4104.375</v>
      </c>
      <c r="AM99" s="863">
        <f>AK99-AI99</f>
        <v>0</v>
      </c>
      <c r="AN99" s="863">
        <f>AL99-AJ99</f>
        <v>820.875</v>
      </c>
      <c r="AO99" s="864">
        <f>Z99*S99</f>
        <v>0</v>
      </c>
      <c r="AP99" s="864">
        <f>Z99*T99</f>
        <v>0</v>
      </c>
      <c r="AQ99" s="864">
        <f>AA99</f>
        <v>0</v>
      </c>
      <c r="AR99" s="864">
        <f>W99*S99</f>
        <v>0</v>
      </c>
      <c r="AS99" s="864">
        <f>W99*T99</f>
        <v>0</v>
      </c>
      <c r="AT99" s="835">
        <f t="shared" si="120"/>
        <v>0</v>
      </c>
      <c r="AU99" s="835">
        <f t="shared" si="121"/>
        <v>4104.375</v>
      </c>
      <c r="AV99" s="863"/>
      <c r="AW99" s="945">
        <f t="shared" si="139"/>
        <v>4104.375</v>
      </c>
    </row>
    <row r="100" spans="2:55" s="765" customFormat="1" ht="58.5">
      <c r="B100" s="852"/>
      <c r="C100" s="853" t="s">
        <v>1267</v>
      </c>
      <c r="D100" s="854" t="s">
        <v>1237</v>
      </c>
      <c r="E100" s="852" t="s">
        <v>1238</v>
      </c>
      <c r="F100" s="852">
        <v>13</v>
      </c>
      <c r="G100" s="855">
        <v>6567</v>
      </c>
      <c r="H100" s="855"/>
      <c r="I100" s="855"/>
      <c r="J100" s="855"/>
      <c r="K100" s="855"/>
      <c r="L100" s="855"/>
      <c r="M100" s="855"/>
      <c r="N100" s="855"/>
      <c r="O100" s="855"/>
      <c r="P100" s="855"/>
      <c r="Q100" s="855"/>
      <c r="R100" s="855">
        <f>G100+I100+K100+L100+N100+P100+Q100</f>
        <v>6567</v>
      </c>
      <c r="S100" s="855">
        <v>1</v>
      </c>
      <c r="T100" s="855"/>
      <c r="U100" s="855"/>
      <c r="V100" s="855"/>
      <c r="W100" s="855"/>
      <c r="X100" s="852">
        <v>22</v>
      </c>
      <c r="Y100" s="856">
        <v>0.3</v>
      </c>
      <c r="Z100" s="855">
        <f>R100*Y100</f>
        <v>1970.1</v>
      </c>
      <c r="AA100" s="855"/>
      <c r="AB100" s="855">
        <f t="shared" si="142"/>
        <v>8537.1</v>
      </c>
      <c r="AC100" s="860">
        <f>AF100</f>
        <v>11462.9</v>
      </c>
      <c r="AD100" s="860">
        <f>AB100+AC100</f>
        <v>20000</v>
      </c>
      <c r="AE100" s="861">
        <f t="shared" si="143"/>
        <v>20000</v>
      </c>
      <c r="AF100" s="861">
        <f>AE100-AB100</f>
        <v>11462.9</v>
      </c>
      <c r="AG100" s="862">
        <f t="shared" si="128"/>
        <v>6700</v>
      </c>
      <c r="AH100" s="861">
        <f>AB100-AG100</f>
        <v>1837.1000000000004</v>
      </c>
      <c r="AI100" s="863">
        <f>G100*S100</f>
        <v>6567</v>
      </c>
      <c r="AJ100" s="863">
        <f>G100*T100</f>
        <v>0</v>
      </c>
      <c r="AK100" s="863">
        <f>R100*S100</f>
        <v>6567</v>
      </c>
      <c r="AL100" s="863">
        <f>R100*T100</f>
        <v>0</v>
      </c>
      <c r="AM100" s="863">
        <f>AK100-AI100</f>
        <v>0</v>
      </c>
      <c r="AN100" s="863">
        <f>AL100-AJ100</f>
        <v>0</v>
      </c>
      <c r="AO100" s="864">
        <f>Z100*S100</f>
        <v>1970.1</v>
      </c>
      <c r="AP100" s="864">
        <f>Z100*T100</f>
        <v>0</v>
      </c>
      <c r="AQ100" s="864">
        <f>AA100</f>
        <v>0</v>
      </c>
      <c r="AR100" s="864">
        <f>W100*S100</f>
        <v>0</v>
      </c>
      <c r="AS100" s="864">
        <f>W100*T100</f>
        <v>0</v>
      </c>
      <c r="AT100" s="835">
        <f t="shared" si="120"/>
        <v>6567</v>
      </c>
      <c r="AU100" s="835">
        <f t="shared" si="121"/>
        <v>0</v>
      </c>
      <c r="AV100" s="863"/>
      <c r="AW100" s="945">
        <f t="shared" si="139"/>
        <v>6567</v>
      </c>
    </row>
    <row r="101" spans="2:55" s="765" customFormat="1" ht="58.5">
      <c r="B101" s="852"/>
      <c r="C101" s="853" t="s">
        <v>1241</v>
      </c>
      <c r="D101" s="854" t="s">
        <v>1242</v>
      </c>
      <c r="E101" s="852" t="s">
        <v>1243</v>
      </c>
      <c r="F101" s="852">
        <v>13</v>
      </c>
      <c r="G101" s="855">
        <v>6567</v>
      </c>
      <c r="H101" s="852"/>
      <c r="I101" s="852"/>
      <c r="J101" s="856">
        <v>0.15</v>
      </c>
      <c r="K101" s="857">
        <f>(G101+I101)*J101</f>
        <v>985.05</v>
      </c>
      <c r="L101" s="852"/>
      <c r="M101" s="852"/>
      <c r="N101" s="855"/>
      <c r="O101" s="852"/>
      <c r="P101" s="852"/>
      <c r="Q101" s="852"/>
      <c r="R101" s="855">
        <f t="shared" si="123"/>
        <v>7552.05</v>
      </c>
      <c r="S101" s="855">
        <v>1</v>
      </c>
      <c r="T101" s="855"/>
      <c r="U101" s="852"/>
      <c r="V101" s="852"/>
      <c r="W101" s="852"/>
      <c r="X101" s="852">
        <v>25</v>
      </c>
      <c r="Y101" s="856">
        <v>0.3</v>
      </c>
      <c r="Z101" s="855">
        <f t="shared" si="124"/>
        <v>2265.6149999999998</v>
      </c>
      <c r="AA101" s="855"/>
      <c r="AB101" s="855">
        <f t="shared" si="142"/>
        <v>9817.6650000000009</v>
      </c>
      <c r="AC101" s="860">
        <f t="shared" si="125"/>
        <v>10182.334999999999</v>
      </c>
      <c r="AD101" s="860">
        <f t="shared" si="126"/>
        <v>20000</v>
      </c>
      <c r="AE101" s="861">
        <f t="shared" si="143"/>
        <v>20000</v>
      </c>
      <c r="AF101" s="861">
        <f t="shared" si="127"/>
        <v>10182.334999999999</v>
      </c>
      <c r="AG101" s="862">
        <f t="shared" si="128"/>
        <v>6700</v>
      </c>
      <c r="AH101" s="861">
        <f t="shared" si="141"/>
        <v>3117.6650000000009</v>
      </c>
      <c r="AI101" s="863">
        <f t="shared" si="129"/>
        <v>6567</v>
      </c>
      <c r="AJ101" s="863">
        <f t="shared" si="130"/>
        <v>0</v>
      </c>
      <c r="AK101" s="863">
        <f t="shared" si="131"/>
        <v>7552.05</v>
      </c>
      <c r="AL101" s="863">
        <f t="shared" si="132"/>
        <v>0</v>
      </c>
      <c r="AM101" s="863">
        <f t="shared" si="133"/>
        <v>985.05000000000018</v>
      </c>
      <c r="AN101" s="863">
        <f t="shared" si="133"/>
        <v>0</v>
      </c>
      <c r="AO101" s="864">
        <f t="shared" si="134"/>
        <v>2265.6149999999998</v>
      </c>
      <c r="AP101" s="864">
        <f t="shared" si="135"/>
        <v>0</v>
      </c>
      <c r="AQ101" s="864">
        <f t="shared" si="136"/>
        <v>0</v>
      </c>
      <c r="AR101" s="864">
        <f t="shared" si="137"/>
        <v>0</v>
      </c>
      <c r="AS101" s="864">
        <f t="shared" si="138"/>
        <v>0</v>
      </c>
      <c r="AT101" s="835">
        <f t="shared" si="120"/>
        <v>7552.05</v>
      </c>
      <c r="AU101" s="835">
        <f t="shared" si="121"/>
        <v>0</v>
      </c>
      <c r="AV101" s="863"/>
      <c r="AW101" s="945">
        <f t="shared" si="139"/>
        <v>7552.05</v>
      </c>
    </row>
    <row r="102" spans="2:55" s="765" customFormat="1" ht="58.5">
      <c r="B102" s="852"/>
      <c r="C102" s="853" t="s">
        <v>1244</v>
      </c>
      <c r="D102" s="854" t="s">
        <v>784</v>
      </c>
      <c r="E102" s="852" t="s">
        <v>537</v>
      </c>
      <c r="F102" s="852">
        <v>12</v>
      </c>
      <c r="G102" s="855">
        <v>6133</v>
      </c>
      <c r="H102" s="855"/>
      <c r="I102" s="855"/>
      <c r="J102" s="855"/>
      <c r="K102" s="855"/>
      <c r="L102" s="855"/>
      <c r="M102" s="855"/>
      <c r="N102" s="855"/>
      <c r="O102" s="855"/>
      <c r="P102" s="855"/>
      <c r="Q102" s="855"/>
      <c r="R102" s="855">
        <f t="shared" si="123"/>
        <v>6133</v>
      </c>
      <c r="S102" s="855">
        <v>1</v>
      </c>
      <c r="T102" s="855"/>
      <c r="U102" s="855"/>
      <c r="V102" s="855"/>
      <c r="W102" s="855"/>
      <c r="X102" s="859">
        <v>8</v>
      </c>
      <c r="Y102" s="856">
        <v>0.1</v>
      </c>
      <c r="Z102" s="855">
        <f>R102*Y102</f>
        <v>613.30000000000007</v>
      </c>
      <c r="AA102" s="855"/>
      <c r="AB102" s="855">
        <f>(R102+Z102)*S102</f>
        <v>6746.3</v>
      </c>
      <c r="AC102" s="860">
        <f>AF102</f>
        <v>13253.7</v>
      </c>
      <c r="AD102" s="860">
        <f>AB102+AC102</f>
        <v>20000</v>
      </c>
      <c r="AE102" s="861">
        <f>20000*S102</f>
        <v>20000</v>
      </c>
      <c r="AF102" s="861">
        <f>AE102-AB102</f>
        <v>13253.7</v>
      </c>
      <c r="AG102" s="862">
        <f t="shared" si="128"/>
        <v>6700</v>
      </c>
      <c r="AH102" s="861">
        <f>AB102-AG102</f>
        <v>46.300000000000182</v>
      </c>
      <c r="AI102" s="863">
        <f t="shared" si="129"/>
        <v>6133</v>
      </c>
      <c r="AJ102" s="863">
        <f t="shared" si="130"/>
        <v>0</v>
      </c>
      <c r="AK102" s="863">
        <f t="shared" si="131"/>
        <v>6133</v>
      </c>
      <c r="AL102" s="863">
        <f t="shared" si="132"/>
        <v>0</v>
      </c>
      <c r="AM102" s="863">
        <f t="shared" si="133"/>
        <v>0</v>
      </c>
      <c r="AN102" s="863">
        <f t="shared" si="133"/>
        <v>0</v>
      </c>
      <c r="AO102" s="864">
        <f t="shared" si="134"/>
        <v>613.30000000000007</v>
      </c>
      <c r="AP102" s="864">
        <f t="shared" si="135"/>
        <v>0</v>
      </c>
      <c r="AQ102" s="864">
        <f t="shared" si="136"/>
        <v>0</v>
      </c>
      <c r="AR102" s="864">
        <f t="shared" si="137"/>
        <v>0</v>
      </c>
      <c r="AS102" s="864">
        <f t="shared" si="138"/>
        <v>0</v>
      </c>
      <c r="AT102" s="835">
        <f t="shared" si="120"/>
        <v>6133</v>
      </c>
      <c r="AU102" s="835">
        <f t="shared" si="121"/>
        <v>0</v>
      </c>
      <c r="AV102" s="863"/>
      <c r="AW102" s="945">
        <f t="shared" si="139"/>
        <v>6133</v>
      </c>
    </row>
    <row r="103" spans="2:55" s="765" customFormat="1" ht="33">
      <c r="B103" s="852"/>
      <c r="C103" s="853" t="s">
        <v>1249</v>
      </c>
      <c r="D103" s="854"/>
      <c r="E103" s="852" t="s">
        <v>511</v>
      </c>
      <c r="F103" s="852">
        <v>13</v>
      </c>
      <c r="G103" s="855">
        <v>6567</v>
      </c>
      <c r="H103" s="855"/>
      <c r="I103" s="855"/>
      <c r="J103" s="855"/>
      <c r="K103" s="855"/>
      <c r="L103" s="855"/>
      <c r="M103" s="855"/>
      <c r="N103" s="855"/>
      <c r="O103" s="855"/>
      <c r="P103" s="855"/>
      <c r="Q103" s="855"/>
      <c r="R103" s="855">
        <f t="shared" si="123"/>
        <v>6567</v>
      </c>
      <c r="S103" s="855">
        <v>0.25</v>
      </c>
      <c r="T103" s="855"/>
      <c r="U103" s="855"/>
      <c r="V103" s="855"/>
      <c r="W103" s="855"/>
      <c r="X103" s="859"/>
      <c r="Y103" s="856">
        <v>0</v>
      </c>
      <c r="Z103" s="855">
        <f t="shared" si="124"/>
        <v>0</v>
      </c>
      <c r="AA103" s="855">
        <f>AH103</f>
        <v>33.25</v>
      </c>
      <c r="AB103" s="855">
        <f>(R103+Z103)*S103+AA103</f>
        <v>1675</v>
      </c>
      <c r="AC103" s="860">
        <f>AF103</f>
        <v>3325</v>
      </c>
      <c r="AD103" s="860">
        <f>AB103+AC103</f>
        <v>5000</v>
      </c>
      <c r="AE103" s="861">
        <f>20000*S103</f>
        <v>5000</v>
      </c>
      <c r="AF103" s="861">
        <f>AE103-AB103</f>
        <v>3325</v>
      </c>
      <c r="AG103" s="862">
        <f>6700*S103</f>
        <v>1675</v>
      </c>
      <c r="AH103" s="861">
        <f>AG103-(R103*S103)</f>
        <v>33.25</v>
      </c>
      <c r="AI103" s="863">
        <f t="shared" si="129"/>
        <v>1641.75</v>
      </c>
      <c r="AJ103" s="863">
        <f t="shared" si="130"/>
        <v>0</v>
      </c>
      <c r="AK103" s="863">
        <f>R103*S103</f>
        <v>1641.75</v>
      </c>
      <c r="AL103" s="863">
        <f>R103*T103</f>
        <v>0</v>
      </c>
      <c r="AM103" s="863">
        <f>AK103-AI103</f>
        <v>0</v>
      </c>
      <c r="AN103" s="863">
        <f>AL103-AJ103</f>
        <v>0</v>
      </c>
      <c r="AO103" s="864">
        <f>Z103*S103</f>
        <v>0</v>
      </c>
      <c r="AP103" s="864">
        <f>Z103*T103</f>
        <v>0</v>
      </c>
      <c r="AQ103" s="864">
        <f>AA103</f>
        <v>33.25</v>
      </c>
      <c r="AR103" s="864">
        <f>W103*S103</f>
        <v>0</v>
      </c>
      <c r="AS103" s="864">
        <f>W103*T103</f>
        <v>0</v>
      </c>
      <c r="AT103" s="835">
        <f t="shared" si="120"/>
        <v>1641.75</v>
      </c>
      <c r="AU103" s="835">
        <f t="shared" si="121"/>
        <v>0</v>
      </c>
      <c r="AV103" s="863"/>
      <c r="AW103" s="945">
        <f t="shared" si="139"/>
        <v>1641.75</v>
      </c>
    </row>
    <row r="104" spans="2:55" s="765" customFormat="1" ht="58.5">
      <c r="B104" s="852"/>
      <c r="C104" s="853" t="s">
        <v>1250</v>
      </c>
      <c r="D104" s="854" t="s">
        <v>549</v>
      </c>
      <c r="E104" s="852" t="s">
        <v>550</v>
      </c>
      <c r="F104" s="852">
        <v>13</v>
      </c>
      <c r="G104" s="855">
        <v>6567</v>
      </c>
      <c r="H104" s="855"/>
      <c r="I104" s="855"/>
      <c r="J104" s="856">
        <v>0.15</v>
      </c>
      <c r="K104" s="857">
        <f>(G104+I104)*J104</f>
        <v>985.05</v>
      </c>
      <c r="L104" s="855"/>
      <c r="M104" s="855"/>
      <c r="N104" s="855"/>
      <c r="O104" s="855"/>
      <c r="P104" s="859"/>
      <c r="Q104" s="859"/>
      <c r="R104" s="855">
        <f t="shared" si="123"/>
        <v>7552.05</v>
      </c>
      <c r="S104" s="855">
        <v>1</v>
      </c>
      <c r="T104" s="855"/>
      <c r="U104" s="859"/>
      <c r="V104" s="859"/>
      <c r="W104" s="859"/>
      <c r="X104" s="859">
        <v>22</v>
      </c>
      <c r="Y104" s="856">
        <v>0.3</v>
      </c>
      <c r="Z104" s="855">
        <f t="shared" si="124"/>
        <v>2265.6149999999998</v>
      </c>
      <c r="AA104" s="855"/>
      <c r="AB104" s="855">
        <f>(R104+Z104)*S104+AA104</f>
        <v>9817.6650000000009</v>
      </c>
      <c r="AC104" s="860">
        <f>AF104</f>
        <v>10182.334999999999</v>
      </c>
      <c r="AD104" s="860">
        <f>AB104+AC104</f>
        <v>20000</v>
      </c>
      <c r="AE104" s="861">
        <f>20000*S104</f>
        <v>20000</v>
      </c>
      <c r="AF104" s="861">
        <f>AE104-AB104</f>
        <v>10182.334999999999</v>
      </c>
      <c r="AG104" s="862">
        <f>6700*S104</f>
        <v>6700</v>
      </c>
      <c r="AH104" s="861">
        <f>AG104-(R104*S104)</f>
        <v>-852.05000000000018</v>
      </c>
      <c r="AI104" s="863">
        <f t="shared" si="129"/>
        <v>6567</v>
      </c>
      <c r="AJ104" s="863">
        <f t="shared" si="130"/>
        <v>0</v>
      </c>
      <c r="AK104" s="863">
        <f t="shared" si="131"/>
        <v>7552.05</v>
      </c>
      <c r="AL104" s="863">
        <f t="shared" si="132"/>
        <v>0</v>
      </c>
      <c r="AM104" s="863">
        <f t="shared" si="133"/>
        <v>985.05000000000018</v>
      </c>
      <c r="AN104" s="863">
        <f t="shared" si="133"/>
        <v>0</v>
      </c>
      <c r="AO104" s="864">
        <f t="shared" si="134"/>
        <v>2265.6149999999998</v>
      </c>
      <c r="AP104" s="864">
        <f t="shared" si="135"/>
        <v>0</v>
      </c>
      <c r="AQ104" s="864">
        <f t="shared" si="136"/>
        <v>0</v>
      </c>
      <c r="AR104" s="864">
        <f t="shared" si="137"/>
        <v>0</v>
      </c>
      <c r="AS104" s="864">
        <f t="shared" si="138"/>
        <v>0</v>
      </c>
      <c r="AT104" s="835">
        <f t="shared" si="120"/>
        <v>7552.05</v>
      </c>
      <c r="AU104" s="835">
        <f t="shared" si="121"/>
        <v>0</v>
      </c>
      <c r="AV104" s="863"/>
      <c r="AW104" s="945">
        <f t="shared" si="139"/>
        <v>7552.05</v>
      </c>
    </row>
    <row r="105" spans="2:55" s="196" customFormat="1" ht="31.5">
      <c r="B105" s="770"/>
      <c r="C105" s="799" t="s">
        <v>504</v>
      </c>
      <c r="D105" s="832"/>
      <c r="E105" s="813"/>
      <c r="F105" s="812"/>
      <c r="G105" s="803">
        <f>SUM(G87:G104)</f>
        <v>112998</v>
      </c>
      <c r="H105" s="902"/>
      <c r="I105" s="803"/>
      <c r="J105" s="902"/>
      <c r="K105" s="803"/>
      <c r="L105" s="803"/>
      <c r="M105" s="902"/>
      <c r="N105" s="803"/>
      <c r="O105" s="902"/>
      <c r="P105" s="803"/>
      <c r="Q105" s="803"/>
      <c r="R105" s="803">
        <f>SUM(R87:R104)</f>
        <v>124229.85</v>
      </c>
      <c r="S105" s="803">
        <f>SUM(S87:S104)</f>
        <v>14.25</v>
      </c>
      <c r="T105" s="803">
        <f>SUM(T87:T104)</f>
        <v>1</v>
      </c>
      <c r="U105" s="803"/>
      <c r="V105" s="803"/>
      <c r="W105" s="803"/>
      <c r="X105" s="803"/>
      <c r="Y105" s="803"/>
      <c r="Z105" s="803">
        <f t="shared" ref="Z105:AW105" si="144">SUM(Z87:Z104)</f>
        <v>22824.03</v>
      </c>
      <c r="AA105" s="803">
        <f t="shared" si="144"/>
        <v>2933.0812499999993</v>
      </c>
      <c r="AB105" s="803">
        <f t="shared" si="144"/>
        <v>129396.4725</v>
      </c>
      <c r="AC105" s="803">
        <f t="shared" si="144"/>
        <v>175603.5275</v>
      </c>
      <c r="AD105" s="803">
        <f t="shared" si="144"/>
        <v>305000</v>
      </c>
      <c r="AE105" s="803">
        <f t="shared" si="144"/>
        <v>305000</v>
      </c>
      <c r="AF105" s="803">
        <f t="shared" si="144"/>
        <v>175603.5275</v>
      </c>
      <c r="AG105" s="803">
        <f t="shared" si="144"/>
        <v>102175</v>
      </c>
      <c r="AH105" s="803">
        <f t="shared" si="144"/>
        <v>26184.838750000003</v>
      </c>
      <c r="AI105" s="803">
        <f t="shared" si="144"/>
        <v>89131.25</v>
      </c>
      <c r="AJ105" s="803">
        <f t="shared" si="144"/>
        <v>6350</v>
      </c>
      <c r="AK105" s="803">
        <f t="shared" si="144"/>
        <v>96865.175000000003</v>
      </c>
      <c r="AL105" s="803">
        <f t="shared" si="144"/>
        <v>7630.85</v>
      </c>
      <c r="AM105" s="803">
        <f t="shared" si="144"/>
        <v>7733.9250000000011</v>
      </c>
      <c r="AN105" s="803">
        <f t="shared" si="144"/>
        <v>1280.8499999999999</v>
      </c>
      <c r="AO105" s="803">
        <f t="shared" si="144"/>
        <v>21262.071250000001</v>
      </c>
      <c r="AP105" s="803">
        <f t="shared" si="144"/>
        <v>705.29500000000007</v>
      </c>
      <c r="AQ105" s="803">
        <f t="shared" si="144"/>
        <v>2933.0812499999993</v>
      </c>
      <c r="AR105" s="803">
        <f t="shared" si="144"/>
        <v>0</v>
      </c>
      <c r="AS105" s="803">
        <f t="shared" si="144"/>
        <v>0</v>
      </c>
      <c r="AT105" s="803">
        <f t="shared" si="144"/>
        <v>96865.175000000003</v>
      </c>
      <c r="AU105" s="803">
        <f t="shared" si="144"/>
        <v>7630.85</v>
      </c>
      <c r="AV105" s="803">
        <f t="shared" si="144"/>
        <v>0</v>
      </c>
      <c r="AW105" s="803">
        <f t="shared" si="144"/>
        <v>104496.02499999999</v>
      </c>
    </row>
    <row r="106" spans="2:55" s="196" customFormat="1" ht="33">
      <c r="B106" s="770"/>
      <c r="C106" s="851" t="s">
        <v>1988</v>
      </c>
      <c r="D106" s="845"/>
      <c r="E106" s="846"/>
      <c r="F106" s="846"/>
      <c r="G106" s="846"/>
      <c r="H106" s="847"/>
      <c r="I106" s="846"/>
      <c r="J106" s="847"/>
      <c r="K106" s="846"/>
      <c r="L106" s="846"/>
      <c r="M106" s="847"/>
      <c r="N106" s="846"/>
      <c r="O106" s="847"/>
      <c r="P106" s="846"/>
      <c r="Q106" s="846"/>
      <c r="R106" s="846"/>
      <c r="S106" s="846"/>
      <c r="T106" s="846"/>
      <c r="U106" s="846"/>
      <c r="V106" s="846"/>
      <c r="W106" s="846"/>
      <c r="X106" s="846"/>
      <c r="Y106" s="846"/>
      <c r="Z106" s="846"/>
      <c r="AA106" s="846"/>
      <c r="AB106" s="846"/>
      <c r="AC106" s="848"/>
      <c r="AD106" s="848"/>
      <c r="AE106" s="849"/>
      <c r="AF106" s="849"/>
      <c r="AG106" s="850"/>
      <c r="AH106" s="849"/>
      <c r="AI106" s="828"/>
      <c r="AJ106" s="828"/>
      <c r="AK106" s="828"/>
      <c r="AL106" s="828"/>
      <c r="AM106" s="828"/>
      <c r="AN106" s="828"/>
      <c r="AO106" s="830"/>
      <c r="AP106" s="830"/>
      <c r="AQ106" s="830"/>
      <c r="AR106" s="830"/>
      <c r="AS106" s="830"/>
      <c r="AT106" s="835"/>
      <c r="AU106" s="835"/>
      <c r="AV106" s="828"/>
      <c r="AW106" s="944"/>
      <c r="BC106" s="197"/>
    </row>
    <row r="107" spans="2:55" s="196" customFormat="1" ht="58.5">
      <c r="B107" s="852"/>
      <c r="C107" s="853" t="s">
        <v>1310</v>
      </c>
      <c r="D107" s="854" t="s">
        <v>565</v>
      </c>
      <c r="E107" s="859" t="s">
        <v>1344</v>
      </c>
      <c r="F107" s="859">
        <v>8</v>
      </c>
      <c r="G107" s="855">
        <v>4745</v>
      </c>
      <c r="H107" s="855"/>
      <c r="I107" s="855"/>
      <c r="J107" s="855"/>
      <c r="K107" s="855"/>
      <c r="L107" s="855"/>
      <c r="M107" s="855"/>
      <c r="N107" s="855"/>
      <c r="O107" s="855"/>
      <c r="P107" s="855"/>
      <c r="Q107" s="855"/>
      <c r="R107" s="855">
        <f t="shared" ref="R107:R117" si="145">G107+I107+K107+L107+N107+P107+Q107</f>
        <v>4745</v>
      </c>
      <c r="S107" s="855">
        <v>1</v>
      </c>
      <c r="T107" s="855"/>
      <c r="U107" s="855"/>
      <c r="V107" s="855"/>
      <c r="W107" s="855"/>
      <c r="X107" s="852">
        <v>15</v>
      </c>
      <c r="Y107" s="856">
        <v>0.2</v>
      </c>
      <c r="Z107" s="855">
        <f t="shared" ref="Z107:Z117" si="146">R107*Y107</f>
        <v>949</v>
      </c>
      <c r="AA107" s="855">
        <f>AH107</f>
        <v>1006</v>
      </c>
      <c r="AB107" s="855">
        <f>(R107+Z107)*S107+AA107</f>
        <v>6700</v>
      </c>
      <c r="AC107" s="860">
        <f t="shared" ref="AC107:AC117" si="147">AF107</f>
        <v>6800</v>
      </c>
      <c r="AD107" s="860">
        <f t="shared" ref="AD107:AD117" si="148">AB107+AC107</f>
        <v>13500</v>
      </c>
      <c r="AE107" s="861">
        <f t="shared" ref="AE107:AE117" si="149">13500*S107</f>
        <v>13500</v>
      </c>
      <c r="AF107" s="861">
        <f t="shared" ref="AF107:AF117" si="150">AE107-AB107</f>
        <v>6800</v>
      </c>
      <c r="AG107" s="862">
        <f>6700*S107</f>
        <v>6700</v>
      </c>
      <c r="AH107" s="861">
        <f>AG107-(R107*S107)-Z107</f>
        <v>1006</v>
      </c>
      <c r="AI107" s="863">
        <f t="shared" ref="AI107:AI117" si="151">G107*S107</f>
        <v>4745</v>
      </c>
      <c r="AJ107" s="863">
        <f t="shared" ref="AJ107:AJ117" si="152">G107*T107</f>
        <v>0</v>
      </c>
      <c r="AK107" s="863">
        <f t="shared" ref="AK107:AK117" si="153">R107*S107</f>
        <v>4745</v>
      </c>
      <c r="AL107" s="863">
        <f t="shared" ref="AL107:AL117" si="154">R107*T107</f>
        <v>0</v>
      </c>
      <c r="AM107" s="863">
        <f t="shared" ref="AM107:AM117" si="155">AK107-AI107</f>
        <v>0</v>
      </c>
      <c r="AN107" s="863">
        <f t="shared" ref="AN107:AN117" si="156">AL107-AJ107</f>
        <v>0</v>
      </c>
      <c r="AO107" s="864">
        <f t="shared" ref="AO107:AO117" si="157">Z107*S107</f>
        <v>949</v>
      </c>
      <c r="AP107" s="864">
        <f t="shared" ref="AP107:AP117" si="158">Z107*T107</f>
        <v>0</v>
      </c>
      <c r="AQ107" s="864">
        <f t="shared" ref="AQ107:AQ117" si="159">AA107</f>
        <v>1006</v>
      </c>
      <c r="AR107" s="864">
        <f t="shared" ref="AR107:AR117" si="160">W107*S107</f>
        <v>0</v>
      </c>
      <c r="AS107" s="864">
        <f t="shared" ref="AS107:AS117" si="161">W107*T107</f>
        <v>0</v>
      </c>
      <c r="AT107" s="835">
        <f t="shared" si="120"/>
        <v>4745</v>
      </c>
      <c r="AU107" s="835">
        <f t="shared" si="121"/>
        <v>0</v>
      </c>
      <c r="AV107" s="863"/>
      <c r="AW107" s="945">
        <f t="shared" ref="AW107:AW117" si="162">AT107+AU107-AV107</f>
        <v>4745</v>
      </c>
    </row>
    <row r="108" spans="2:55" s="196" customFormat="1" ht="33">
      <c r="B108" s="852"/>
      <c r="C108" s="853" t="s">
        <v>1310</v>
      </c>
      <c r="D108" s="854"/>
      <c r="E108" s="859" t="s">
        <v>511</v>
      </c>
      <c r="F108" s="859">
        <v>8</v>
      </c>
      <c r="G108" s="855">
        <v>4745</v>
      </c>
      <c r="H108" s="855"/>
      <c r="I108" s="855"/>
      <c r="J108" s="855"/>
      <c r="K108" s="855"/>
      <c r="L108" s="855"/>
      <c r="M108" s="855"/>
      <c r="N108" s="855"/>
      <c r="O108" s="855"/>
      <c r="P108" s="855"/>
      <c r="Q108" s="855"/>
      <c r="R108" s="855">
        <f t="shared" si="145"/>
        <v>4745</v>
      </c>
      <c r="S108" s="855">
        <v>1</v>
      </c>
      <c r="T108" s="855"/>
      <c r="U108" s="855"/>
      <c r="V108" s="855"/>
      <c r="W108" s="855"/>
      <c r="X108" s="852"/>
      <c r="Y108" s="856">
        <v>0</v>
      </c>
      <c r="Z108" s="855">
        <f t="shared" si="146"/>
        <v>0</v>
      </c>
      <c r="AA108" s="855">
        <f>AH108</f>
        <v>1955</v>
      </c>
      <c r="AB108" s="855">
        <f>(R108+Z108)*S108+AA108</f>
        <v>6700</v>
      </c>
      <c r="AC108" s="860">
        <f t="shared" si="147"/>
        <v>6800</v>
      </c>
      <c r="AD108" s="860">
        <f t="shared" si="148"/>
        <v>13500</v>
      </c>
      <c r="AE108" s="861">
        <f t="shared" si="149"/>
        <v>13500</v>
      </c>
      <c r="AF108" s="861">
        <f t="shared" si="150"/>
        <v>6800</v>
      </c>
      <c r="AG108" s="862">
        <f>6700*S108</f>
        <v>6700</v>
      </c>
      <c r="AH108" s="861">
        <f>AG108-(R108*S108)-Z108</f>
        <v>1955</v>
      </c>
      <c r="AI108" s="863">
        <f t="shared" si="151"/>
        <v>4745</v>
      </c>
      <c r="AJ108" s="863">
        <f t="shared" si="152"/>
        <v>0</v>
      </c>
      <c r="AK108" s="863">
        <f t="shared" si="153"/>
        <v>4745</v>
      </c>
      <c r="AL108" s="863">
        <f t="shared" si="154"/>
        <v>0</v>
      </c>
      <c r="AM108" s="863">
        <f t="shared" si="155"/>
        <v>0</v>
      </c>
      <c r="AN108" s="863">
        <f t="shared" si="156"/>
        <v>0</v>
      </c>
      <c r="AO108" s="864">
        <f t="shared" si="157"/>
        <v>0</v>
      </c>
      <c r="AP108" s="864">
        <f t="shared" si="158"/>
        <v>0</v>
      </c>
      <c r="AQ108" s="864">
        <f t="shared" si="159"/>
        <v>1955</v>
      </c>
      <c r="AR108" s="864">
        <f t="shared" si="160"/>
        <v>0</v>
      </c>
      <c r="AS108" s="864">
        <f t="shared" si="161"/>
        <v>0</v>
      </c>
      <c r="AT108" s="835">
        <f t="shared" si="120"/>
        <v>4745</v>
      </c>
      <c r="AU108" s="835">
        <f t="shared" si="121"/>
        <v>0</v>
      </c>
      <c r="AV108" s="863"/>
      <c r="AW108" s="945">
        <f t="shared" si="162"/>
        <v>4745</v>
      </c>
    </row>
    <row r="109" spans="2:55" s="196" customFormat="1" ht="33">
      <c r="B109" s="852"/>
      <c r="C109" s="853" t="s">
        <v>566</v>
      </c>
      <c r="D109" s="854" t="s">
        <v>521</v>
      </c>
      <c r="E109" s="852" t="s">
        <v>567</v>
      </c>
      <c r="F109" s="852">
        <v>6</v>
      </c>
      <c r="G109" s="855">
        <v>4195</v>
      </c>
      <c r="H109" s="855"/>
      <c r="I109" s="855"/>
      <c r="J109" s="855"/>
      <c r="K109" s="855"/>
      <c r="L109" s="855"/>
      <c r="M109" s="855"/>
      <c r="N109" s="855"/>
      <c r="O109" s="855"/>
      <c r="P109" s="855"/>
      <c r="Q109" s="855"/>
      <c r="R109" s="855">
        <f t="shared" si="145"/>
        <v>4195</v>
      </c>
      <c r="S109" s="855">
        <v>1</v>
      </c>
      <c r="T109" s="855"/>
      <c r="U109" s="855"/>
      <c r="V109" s="855"/>
      <c r="W109" s="855"/>
      <c r="X109" s="852">
        <v>6</v>
      </c>
      <c r="Y109" s="856">
        <v>0.1</v>
      </c>
      <c r="Z109" s="855">
        <f t="shared" si="146"/>
        <v>419.5</v>
      </c>
      <c r="AA109" s="855">
        <f>AH109</f>
        <v>2085.5</v>
      </c>
      <c r="AB109" s="855">
        <f>(R109+Z109)*S109+AA109</f>
        <v>6700</v>
      </c>
      <c r="AC109" s="860">
        <f t="shared" si="147"/>
        <v>6800</v>
      </c>
      <c r="AD109" s="860">
        <f t="shared" si="148"/>
        <v>13500</v>
      </c>
      <c r="AE109" s="861">
        <f t="shared" si="149"/>
        <v>13500</v>
      </c>
      <c r="AF109" s="861">
        <f t="shared" si="150"/>
        <v>6800</v>
      </c>
      <c r="AG109" s="862">
        <f>6700*S109</f>
        <v>6700</v>
      </c>
      <c r="AH109" s="861">
        <f>AG109-(R109*S109)-Z109</f>
        <v>2085.5</v>
      </c>
      <c r="AI109" s="863">
        <f t="shared" si="151"/>
        <v>4195</v>
      </c>
      <c r="AJ109" s="863">
        <f t="shared" si="152"/>
        <v>0</v>
      </c>
      <c r="AK109" s="863">
        <f t="shared" si="153"/>
        <v>4195</v>
      </c>
      <c r="AL109" s="863">
        <f t="shared" si="154"/>
        <v>0</v>
      </c>
      <c r="AM109" s="863">
        <f t="shared" si="155"/>
        <v>0</v>
      </c>
      <c r="AN109" s="863">
        <f t="shared" si="156"/>
        <v>0</v>
      </c>
      <c r="AO109" s="864">
        <f t="shared" si="157"/>
        <v>419.5</v>
      </c>
      <c r="AP109" s="864">
        <f t="shared" si="158"/>
        <v>0</v>
      </c>
      <c r="AQ109" s="864">
        <f t="shared" si="159"/>
        <v>2085.5</v>
      </c>
      <c r="AR109" s="864">
        <f t="shared" si="160"/>
        <v>0</v>
      </c>
      <c r="AS109" s="864">
        <f t="shared" si="161"/>
        <v>0</v>
      </c>
      <c r="AT109" s="835">
        <f t="shared" si="120"/>
        <v>4195</v>
      </c>
      <c r="AU109" s="835">
        <f t="shared" si="121"/>
        <v>0</v>
      </c>
      <c r="AV109" s="863"/>
      <c r="AW109" s="945">
        <f t="shared" si="162"/>
        <v>4195</v>
      </c>
    </row>
    <row r="110" spans="2:55" s="196" customFormat="1" ht="58.5">
      <c r="B110" s="852"/>
      <c r="C110" s="853" t="s">
        <v>566</v>
      </c>
      <c r="D110" s="854" t="s">
        <v>1311</v>
      </c>
      <c r="E110" s="852" t="s">
        <v>1312</v>
      </c>
      <c r="F110" s="852">
        <v>9</v>
      </c>
      <c r="G110" s="855">
        <v>5005</v>
      </c>
      <c r="H110" s="855"/>
      <c r="I110" s="855"/>
      <c r="J110" s="855"/>
      <c r="K110" s="855"/>
      <c r="L110" s="855"/>
      <c r="M110" s="855"/>
      <c r="N110" s="855"/>
      <c r="O110" s="855"/>
      <c r="P110" s="855"/>
      <c r="Q110" s="855"/>
      <c r="R110" s="855">
        <f t="shared" si="145"/>
        <v>5005</v>
      </c>
      <c r="S110" s="855">
        <v>1</v>
      </c>
      <c r="T110" s="855"/>
      <c r="U110" s="855"/>
      <c r="V110" s="855"/>
      <c r="W110" s="855"/>
      <c r="X110" s="852">
        <v>21</v>
      </c>
      <c r="Y110" s="856">
        <v>0.3</v>
      </c>
      <c r="Z110" s="855">
        <f t="shared" si="146"/>
        <v>1501.5</v>
      </c>
      <c r="AA110" s="855">
        <f t="shared" ref="AA110:AA115" si="163">AH110</f>
        <v>193.5</v>
      </c>
      <c r="AB110" s="855">
        <f t="shared" ref="AB110:AB115" si="164">(R110+Z110)*S110+AA110</f>
        <v>6700</v>
      </c>
      <c r="AC110" s="860">
        <f t="shared" si="147"/>
        <v>6800</v>
      </c>
      <c r="AD110" s="860">
        <f t="shared" si="148"/>
        <v>13500</v>
      </c>
      <c r="AE110" s="861">
        <f t="shared" si="149"/>
        <v>13500</v>
      </c>
      <c r="AF110" s="861">
        <f t="shared" si="150"/>
        <v>6800</v>
      </c>
      <c r="AG110" s="862">
        <f t="shared" ref="AG110:AG115" si="165">6700*S110</f>
        <v>6700</v>
      </c>
      <c r="AH110" s="861">
        <f t="shared" ref="AH110:AH115" si="166">AG110-(R110*S110)-Z110</f>
        <v>193.5</v>
      </c>
      <c r="AI110" s="863">
        <f t="shared" si="151"/>
        <v>5005</v>
      </c>
      <c r="AJ110" s="863">
        <f t="shared" si="152"/>
        <v>0</v>
      </c>
      <c r="AK110" s="863">
        <f t="shared" si="153"/>
        <v>5005</v>
      </c>
      <c r="AL110" s="863">
        <f t="shared" si="154"/>
        <v>0</v>
      </c>
      <c r="AM110" s="863">
        <f t="shared" si="155"/>
        <v>0</v>
      </c>
      <c r="AN110" s="863">
        <f t="shared" si="156"/>
        <v>0</v>
      </c>
      <c r="AO110" s="864">
        <f t="shared" si="157"/>
        <v>1501.5</v>
      </c>
      <c r="AP110" s="864">
        <f t="shared" si="158"/>
        <v>0</v>
      </c>
      <c r="AQ110" s="864">
        <f t="shared" si="159"/>
        <v>193.5</v>
      </c>
      <c r="AR110" s="864">
        <f t="shared" si="160"/>
        <v>0</v>
      </c>
      <c r="AS110" s="864">
        <f t="shared" si="161"/>
        <v>0</v>
      </c>
      <c r="AT110" s="835">
        <f t="shared" si="120"/>
        <v>5005</v>
      </c>
      <c r="AU110" s="835">
        <f t="shared" si="121"/>
        <v>0</v>
      </c>
      <c r="AV110" s="863"/>
      <c r="AW110" s="945">
        <f t="shared" si="162"/>
        <v>5005</v>
      </c>
    </row>
    <row r="111" spans="2:55" s="196" customFormat="1" ht="58.5">
      <c r="B111" s="852"/>
      <c r="C111" s="853" t="s">
        <v>566</v>
      </c>
      <c r="D111" s="869" t="s">
        <v>1313</v>
      </c>
      <c r="E111" s="859" t="s">
        <v>1314</v>
      </c>
      <c r="F111" s="859">
        <v>9</v>
      </c>
      <c r="G111" s="855">
        <v>5005</v>
      </c>
      <c r="H111" s="859"/>
      <c r="I111" s="859"/>
      <c r="J111" s="859"/>
      <c r="K111" s="859"/>
      <c r="L111" s="859"/>
      <c r="M111" s="859"/>
      <c r="N111" s="859"/>
      <c r="O111" s="859"/>
      <c r="P111" s="859"/>
      <c r="Q111" s="855"/>
      <c r="R111" s="855">
        <f t="shared" si="145"/>
        <v>5005</v>
      </c>
      <c r="S111" s="855">
        <v>1</v>
      </c>
      <c r="T111" s="859"/>
      <c r="U111" s="859"/>
      <c r="V111" s="859"/>
      <c r="W111" s="859"/>
      <c r="X111" s="852">
        <v>28</v>
      </c>
      <c r="Y111" s="856">
        <v>0.3</v>
      </c>
      <c r="Z111" s="855">
        <f t="shared" si="146"/>
        <v>1501.5</v>
      </c>
      <c r="AA111" s="855">
        <f t="shared" si="163"/>
        <v>193.5</v>
      </c>
      <c r="AB111" s="855">
        <f t="shared" si="164"/>
        <v>6700</v>
      </c>
      <c r="AC111" s="860">
        <f t="shared" si="147"/>
        <v>6800</v>
      </c>
      <c r="AD111" s="860">
        <f t="shared" si="148"/>
        <v>13500</v>
      </c>
      <c r="AE111" s="861">
        <f t="shared" si="149"/>
        <v>13500</v>
      </c>
      <c r="AF111" s="861">
        <f t="shared" si="150"/>
        <v>6800</v>
      </c>
      <c r="AG111" s="862">
        <f t="shared" si="165"/>
        <v>6700</v>
      </c>
      <c r="AH111" s="861">
        <f t="shared" si="166"/>
        <v>193.5</v>
      </c>
      <c r="AI111" s="863">
        <f t="shared" si="151"/>
        <v>5005</v>
      </c>
      <c r="AJ111" s="863">
        <f t="shared" si="152"/>
        <v>0</v>
      </c>
      <c r="AK111" s="863">
        <f t="shared" si="153"/>
        <v>5005</v>
      </c>
      <c r="AL111" s="863">
        <f t="shared" si="154"/>
        <v>0</v>
      </c>
      <c r="AM111" s="863">
        <f t="shared" si="155"/>
        <v>0</v>
      </c>
      <c r="AN111" s="863">
        <f t="shared" si="156"/>
        <v>0</v>
      </c>
      <c r="AO111" s="864">
        <f t="shared" si="157"/>
        <v>1501.5</v>
      </c>
      <c r="AP111" s="864">
        <f t="shared" si="158"/>
        <v>0</v>
      </c>
      <c r="AQ111" s="864">
        <f t="shared" si="159"/>
        <v>193.5</v>
      </c>
      <c r="AR111" s="864">
        <f t="shared" si="160"/>
        <v>0</v>
      </c>
      <c r="AS111" s="864">
        <f t="shared" si="161"/>
        <v>0</v>
      </c>
      <c r="AT111" s="835">
        <f t="shared" si="120"/>
        <v>5005</v>
      </c>
      <c r="AU111" s="835">
        <f t="shared" si="121"/>
        <v>0</v>
      </c>
      <c r="AV111" s="863"/>
      <c r="AW111" s="945">
        <f t="shared" si="162"/>
        <v>5005</v>
      </c>
    </row>
    <row r="112" spans="2:55" s="196" customFormat="1" ht="58.5">
      <c r="B112" s="852"/>
      <c r="C112" s="853" t="s">
        <v>566</v>
      </c>
      <c r="D112" s="854" t="s">
        <v>568</v>
      </c>
      <c r="E112" s="852" t="s">
        <v>1317</v>
      </c>
      <c r="F112" s="852">
        <v>9</v>
      </c>
      <c r="G112" s="855">
        <v>5005</v>
      </c>
      <c r="H112" s="855"/>
      <c r="I112" s="855"/>
      <c r="J112" s="855"/>
      <c r="K112" s="855"/>
      <c r="L112" s="855"/>
      <c r="M112" s="855"/>
      <c r="N112" s="855"/>
      <c r="O112" s="855"/>
      <c r="P112" s="855"/>
      <c r="Q112" s="855"/>
      <c r="R112" s="855">
        <f t="shared" si="145"/>
        <v>5005</v>
      </c>
      <c r="S112" s="855">
        <v>1</v>
      </c>
      <c r="T112" s="855"/>
      <c r="U112" s="855"/>
      <c r="V112" s="855"/>
      <c r="W112" s="855"/>
      <c r="X112" s="852">
        <v>29</v>
      </c>
      <c r="Y112" s="856">
        <v>0.3</v>
      </c>
      <c r="Z112" s="855">
        <f t="shared" si="146"/>
        <v>1501.5</v>
      </c>
      <c r="AA112" s="855">
        <f t="shared" si="163"/>
        <v>193.5</v>
      </c>
      <c r="AB112" s="855">
        <f t="shared" si="164"/>
        <v>6700</v>
      </c>
      <c r="AC112" s="860">
        <f t="shared" si="147"/>
        <v>6800</v>
      </c>
      <c r="AD112" s="860">
        <f t="shared" si="148"/>
        <v>13500</v>
      </c>
      <c r="AE112" s="861">
        <f t="shared" si="149"/>
        <v>13500</v>
      </c>
      <c r="AF112" s="861">
        <f t="shared" si="150"/>
        <v>6800</v>
      </c>
      <c r="AG112" s="862">
        <f t="shared" si="165"/>
        <v>6700</v>
      </c>
      <c r="AH112" s="861">
        <f t="shared" si="166"/>
        <v>193.5</v>
      </c>
      <c r="AI112" s="863">
        <f t="shared" si="151"/>
        <v>5005</v>
      </c>
      <c r="AJ112" s="863">
        <f t="shared" si="152"/>
        <v>0</v>
      </c>
      <c r="AK112" s="863">
        <f t="shared" si="153"/>
        <v>5005</v>
      </c>
      <c r="AL112" s="863">
        <f t="shared" si="154"/>
        <v>0</v>
      </c>
      <c r="AM112" s="863">
        <f t="shared" si="155"/>
        <v>0</v>
      </c>
      <c r="AN112" s="863">
        <f t="shared" si="156"/>
        <v>0</v>
      </c>
      <c r="AO112" s="864">
        <f t="shared" si="157"/>
        <v>1501.5</v>
      </c>
      <c r="AP112" s="864">
        <f t="shared" si="158"/>
        <v>0</v>
      </c>
      <c r="AQ112" s="864">
        <f t="shared" si="159"/>
        <v>193.5</v>
      </c>
      <c r="AR112" s="864">
        <f t="shared" si="160"/>
        <v>0</v>
      </c>
      <c r="AS112" s="864">
        <f t="shared" si="161"/>
        <v>0</v>
      </c>
      <c r="AT112" s="835">
        <f t="shared" si="120"/>
        <v>5005</v>
      </c>
      <c r="AU112" s="835">
        <f t="shared" si="121"/>
        <v>0</v>
      </c>
      <c r="AV112" s="863"/>
      <c r="AW112" s="945">
        <f t="shared" si="162"/>
        <v>5005</v>
      </c>
    </row>
    <row r="113" spans="2:55" s="196" customFormat="1" ht="58.5">
      <c r="B113" s="852"/>
      <c r="C113" s="853" t="s">
        <v>566</v>
      </c>
      <c r="D113" s="854" t="s">
        <v>1672</v>
      </c>
      <c r="E113" s="852" t="s">
        <v>1318</v>
      </c>
      <c r="F113" s="852">
        <v>9</v>
      </c>
      <c r="G113" s="855">
        <v>5005</v>
      </c>
      <c r="H113" s="855"/>
      <c r="I113" s="855"/>
      <c r="J113" s="855"/>
      <c r="K113" s="855"/>
      <c r="L113" s="855"/>
      <c r="M113" s="855"/>
      <c r="N113" s="855"/>
      <c r="O113" s="855"/>
      <c r="P113" s="859"/>
      <c r="Q113" s="859"/>
      <c r="R113" s="855">
        <f t="shared" si="145"/>
        <v>5005</v>
      </c>
      <c r="S113" s="855">
        <v>1</v>
      </c>
      <c r="T113" s="855"/>
      <c r="U113" s="859"/>
      <c r="V113" s="859"/>
      <c r="W113" s="859"/>
      <c r="X113" s="852">
        <v>29</v>
      </c>
      <c r="Y113" s="856">
        <v>0.3</v>
      </c>
      <c r="Z113" s="855">
        <f t="shared" si="146"/>
        <v>1501.5</v>
      </c>
      <c r="AA113" s="855">
        <f t="shared" si="163"/>
        <v>193.5</v>
      </c>
      <c r="AB113" s="855">
        <f t="shared" si="164"/>
        <v>6700</v>
      </c>
      <c r="AC113" s="860">
        <f t="shared" si="147"/>
        <v>6800</v>
      </c>
      <c r="AD113" s="860">
        <f t="shared" si="148"/>
        <v>13500</v>
      </c>
      <c r="AE113" s="861">
        <f t="shared" si="149"/>
        <v>13500</v>
      </c>
      <c r="AF113" s="861">
        <f t="shared" si="150"/>
        <v>6800</v>
      </c>
      <c r="AG113" s="862">
        <f t="shared" si="165"/>
        <v>6700</v>
      </c>
      <c r="AH113" s="861">
        <f t="shared" si="166"/>
        <v>193.5</v>
      </c>
      <c r="AI113" s="863">
        <f t="shared" si="151"/>
        <v>5005</v>
      </c>
      <c r="AJ113" s="863">
        <f t="shared" si="152"/>
        <v>0</v>
      </c>
      <c r="AK113" s="863">
        <f t="shared" si="153"/>
        <v>5005</v>
      </c>
      <c r="AL113" s="863">
        <f t="shared" si="154"/>
        <v>0</v>
      </c>
      <c r="AM113" s="863">
        <f t="shared" si="155"/>
        <v>0</v>
      </c>
      <c r="AN113" s="863">
        <f t="shared" si="156"/>
        <v>0</v>
      </c>
      <c r="AO113" s="864">
        <f t="shared" si="157"/>
        <v>1501.5</v>
      </c>
      <c r="AP113" s="864">
        <f t="shared" si="158"/>
        <v>0</v>
      </c>
      <c r="AQ113" s="864">
        <f t="shared" si="159"/>
        <v>193.5</v>
      </c>
      <c r="AR113" s="864">
        <f t="shared" si="160"/>
        <v>0</v>
      </c>
      <c r="AS113" s="864">
        <f t="shared" si="161"/>
        <v>0</v>
      </c>
      <c r="AT113" s="835">
        <f t="shared" si="120"/>
        <v>5005</v>
      </c>
      <c r="AU113" s="835">
        <f t="shared" si="121"/>
        <v>0</v>
      </c>
      <c r="AV113" s="863"/>
      <c r="AW113" s="945">
        <f t="shared" si="162"/>
        <v>5005</v>
      </c>
    </row>
    <row r="114" spans="2:55" s="196" customFormat="1" ht="58.5">
      <c r="B114" s="852"/>
      <c r="C114" s="853" t="s">
        <v>566</v>
      </c>
      <c r="D114" s="854" t="s">
        <v>569</v>
      </c>
      <c r="E114" s="852" t="s">
        <v>1319</v>
      </c>
      <c r="F114" s="852">
        <v>9</v>
      </c>
      <c r="G114" s="855">
        <v>5005</v>
      </c>
      <c r="H114" s="855"/>
      <c r="I114" s="855"/>
      <c r="J114" s="855"/>
      <c r="K114" s="855"/>
      <c r="L114" s="855"/>
      <c r="M114" s="855"/>
      <c r="N114" s="855"/>
      <c r="O114" s="855"/>
      <c r="P114" s="855"/>
      <c r="Q114" s="855"/>
      <c r="R114" s="855">
        <f t="shared" si="145"/>
        <v>5005</v>
      </c>
      <c r="S114" s="855">
        <v>1</v>
      </c>
      <c r="T114" s="855"/>
      <c r="U114" s="855"/>
      <c r="V114" s="855"/>
      <c r="W114" s="855"/>
      <c r="X114" s="852">
        <v>41</v>
      </c>
      <c r="Y114" s="856">
        <v>0.3</v>
      </c>
      <c r="Z114" s="855">
        <f t="shared" si="146"/>
        <v>1501.5</v>
      </c>
      <c r="AA114" s="855">
        <f t="shared" si="163"/>
        <v>193.5</v>
      </c>
      <c r="AB114" s="855">
        <f t="shared" si="164"/>
        <v>6700</v>
      </c>
      <c r="AC114" s="860">
        <f t="shared" si="147"/>
        <v>6800</v>
      </c>
      <c r="AD114" s="860">
        <f t="shared" si="148"/>
        <v>13500</v>
      </c>
      <c r="AE114" s="861">
        <f t="shared" si="149"/>
        <v>13500</v>
      </c>
      <c r="AF114" s="861">
        <f t="shared" si="150"/>
        <v>6800</v>
      </c>
      <c r="AG114" s="862">
        <f t="shared" si="165"/>
        <v>6700</v>
      </c>
      <c r="AH114" s="861">
        <f t="shared" si="166"/>
        <v>193.5</v>
      </c>
      <c r="AI114" s="863">
        <f t="shared" si="151"/>
        <v>5005</v>
      </c>
      <c r="AJ114" s="863">
        <f t="shared" si="152"/>
        <v>0</v>
      </c>
      <c r="AK114" s="863">
        <f t="shared" si="153"/>
        <v>5005</v>
      </c>
      <c r="AL114" s="863">
        <f t="shared" si="154"/>
        <v>0</v>
      </c>
      <c r="AM114" s="863">
        <f t="shared" si="155"/>
        <v>0</v>
      </c>
      <c r="AN114" s="863">
        <f t="shared" si="156"/>
        <v>0</v>
      </c>
      <c r="AO114" s="864">
        <f t="shared" si="157"/>
        <v>1501.5</v>
      </c>
      <c r="AP114" s="864">
        <f t="shared" si="158"/>
        <v>0</v>
      </c>
      <c r="AQ114" s="864">
        <f t="shared" si="159"/>
        <v>193.5</v>
      </c>
      <c r="AR114" s="864">
        <f t="shared" si="160"/>
        <v>0</v>
      </c>
      <c r="AS114" s="864">
        <f t="shared" si="161"/>
        <v>0</v>
      </c>
      <c r="AT114" s="835">
        <f t="shared" si="120"/>
        <v>5005</v>
      </c>
      <c r="AU114" s="835">
        <f t="shared" si="121"/>
        <v>0</v>
      </c>
      <c r="AV114" s="863"/>
      <c r="AW114" s="945">
        <f t="shared" si="162"/>
        <v>5005</v>
      </c>
    </row>
    <row r="115" spans="2:55" s="196" customFormat="1" ht="58.5">
      <c r="B115" s="852"/>
      <c r="C115" s="853" t="s">
        <v>566</v>
      </c>
      <c r="D115" s="854" t="s">
        <v>1320</v>
      </c>
      <c r="E115" s="852" t="s">
        <v>1321</v>
      </c>
      <c r="F115" s="852">
        <v>9</v>
      </c>
      <c r="G115" s="855">
        <v>5005</v>
      </c>
      <c r="H115" s="855"/>
      <c r="I115" s="855"/>
      <c r="J115" s="856"/>
      <c r="K115" s="856"/>
      <c r="L115" s="856"/>
      <c r="M115" s="855"/>
      <c r="N115" s="855"/>
      <c r="O115" s="855"/>
      <c r="P115" s="859"/>
      <c r="Q115" s="859"/>
      <c r="R115" s="855">
        <f t="shared" si="145"/>
        <v>5005</v>
      </c>
      <c r="S115" s="855">
        <v>1</v>
      </c>
      <c r="T115" s="855"/>
      <c r="U115" s="859"/>
      <c r="V115" s="859"/>
      <c r="W115" s="859"/>
      <c r="X115" s="852">
        <v>31</v>
      </c>
      <c r="Y115" s="856">
        <v>0.3</v>
      </c>
      <c r="Z115" s="855">
        <f t="shared" si="146"/>
        <v>1501.5</v>
      </c>
      <c r="AA115" s="855">
        <f t="shared" si="163"/>
        <v>193.5</v>
      </c>
      <c r="AB115" s="855">
        <f t="shared" si="164"/>
        <v>6700</v>
      </c>
      <c r="AC115" s="860">
        <f t="shared" si="147"/>
        <v>6800</v>
      </c>
      <c r="AD115" s="860">
        <f t="shared" si="148"/>
        <v>13500</v>
      </c>
      <c r="AE115" s="861">
        <f t="shared" si="149"/>
        <v>13500</v>
      </c>
      <c r="AF115" s="861">
        <f t="shared" si="150"/>
        <v>6800</v>
      </c>
      <c r="AG115" s="862">
        <f t="shared" si="165"/>
        <v>6700</v>
      </c>
      <c r="AH115" s="861">
        <f t="shared" si="166"/>
        <v>193.5</v>
      </c>
      <c r="AI115" s="863">
        <f t="shared" si="151"/>
        <v>5005</v>
      </c>
      <c r="AJ115" s="863">
        <f t="shared" si="152"/>
        <v>0</v>
      </c>
      <c r="AK115" s="863">
        <f t="shared" si="153"/>
        <v>5005</v>
      </c>
      <c r="AL115" s="863">
        <f t="shared" si="154"/>
        <v>0</v>
      </c>
      <c r="AM115" s="863">
        <f t="shared" si="155"/>
        <v>0</v>
      </c>
      <c r="AN115" s="863">
        <f t="shared" si="156"/>
        <v>0</v>
      </c>
      <c r="AO115" s="864">
        <f t="shared" si="157"/>
        <v>1501.5</v>
      </c>
      <c r="AP115" s="864">
        <f t="shared" si="158"/>
        <v>0</v>
      </c>
      <c r="AQ115" s="864">
        <f t="shared" si="159"/>
        <v>193.5</v>
      </c>
      <c r="AR115" s="864">
        <f t="shared" si="160"/>
        <v>0</v>
      </c>
      <c r="AS115" s="864">
        <f t="shared" si="161"/>
        <v>0</v>
      </c>
      <c r="AT115" s="835">
        <f t="shared" si="120"/>
        <v>5005</v>
      </c>
      <c r="AU115" s="835">
        <f t="shared" si="121"/>
        <v>0</v>
      </c>
      <c r="AV115" s="863"/>
      <c r="AW115" s="945">
        <f t="shared" si="162"/>
        <v>5005</v>
      </c>
    </row>
    <row r="116" spans="2:55" s="196" customFormat="1" ht="58.5">
      <c r="B116" s="852"/>
      <c r="C116" s="853" t="s">
        <v>566</v>
      </c>
      <c r="D116" s="854" t="s">
        <v>570</v>
      </c>
      <c r="E116" s="852" t="s">
        <v>571</v>
      </c>
      <c r="F116" s="852">
        <v>8</v>
      </c>
      <c r="G116" s="855">
        <v>4745</v>
      </c>
      <c r="H116" s="855"/>
      <c r="I116" s="855"/>
      <c r="J116" s="855"/>
      <c r="K116" s="855"/>
      <c r="L116" s="855"/>
      <c r="M116" s="855"/>
      <c r="N116" s="855"/>
      <c r="O116" s="855"/>
      <c r="P116" s="855"/>
      <c r="Q116" s="855"/>
      <c r="R116" s="855">
        <f t="shared" si="145"/>
        <v>4745</v>
      </c>
      <c r="S116" s="855">
        <v>1</v>
      </c>
      <c r="T116" s="855"/>
      <c r="U116" s="855"/>
      <c r="V116" s="855"/>
      <c r="W116" s="855"/>
      <c r="X116" s="852">
        <v>8</v>
      </c>
      <c r="Y116" s="856">
        <v>0.1</v>
      </c>
      <c r="Z116" s="855">
        <f t="shared" si="146"/>
        <v>474.5</v>
      </c>
      <c r="AA116" s="855">
        <f>AH116</f>
        <v>1480.5</v>
      </c>
      <c r="AB116" s="855">
        <f>(R116+Z116)*S116+AA116</f>
        <v>6700</v>
      </c>
      <c r="AC116" s="860">
        <f t="shared" si="147"/>
        <v>6800</v>
      </c>
      <c r="AD116" s="860">
        <f t="shared" si="148"/>
        <v>13500</v>
      </c>
      <c r="AE116" s="861">
        <f t="shared" si="149"/>
        <v>13500</v>
      </c>
      <c r="AF116" s="861">
        <f t="shared" si="150"/>
        <v>6800</v>
      </c>
      <c r="AG116" s="862">
        <f>6700*S116</f>
        <v>6700</v>
      </c>
      <c r="AH116" s="861">
        <f>AG116-(R116*S116)-Z116</f>
        <v>1480.5</v>
      </c>
      <c r="AI116" s="863">
        <f t="shared" si="151"/>
        <v>4745</v>
      </c>
      <c r="AJ116" s="863">
        <f t="shared" si="152"/>
        <v>0</v>
      </c>
      <c r="AK116" s="863">
        <f t="shared" si="153"/>
        <v>4745</v>
      </c>
      <c r="AL116" s="863">
        <f t="shared" si="154"/>
        <v>0</v>
      </c>
      <c r="AM116" s="863">
        <f t="shared" si="155"/>
        <v>0</v>
      </c>
      <c r="AN116" s="863">
        <f t="shared" si="156"/>
        <v>0</v>
      </c>
      <c r="AO116" s="864">
        <f t="shared" si="157"/>
        <v>474.5</v>
      </c>
      <c r="AP116" s="864">
        <f t="shared" si="158"/>
        <v>0</v>
      </c>
      <c r="AQ116" s="864">
        <f t="shared" si="159"/>
        <v>1480.5</v>
      </c>
      <c r="AR116" s="864">
        <f t="shared" si="160"/>
        <v>0</v>
      </c>
      <c r="AS116" s="864">
        <f t="shared" si="161"/>
        <v>0</v>
      </c>
      <c r="AT116" s="835">
        <f t="shared" si="120"/>
        <v>4745</v>
      </c>
      <c r="AU116" s="835">
        <f t="shared" si="121"/>
        <v>0</v>
      </c>
      <c r="AV116" s="863"/>
      <c r="AW116" s="945">
        <f t="shared" si="162"/>
        <v>4745</v>
      </c>
    </row>
    <row r="117" spans="2:55" s="196" customFormat="1" ht="63">
      <c r="B117" s="852"/>
      <c r="C117" s="853" t="s">
        <v>1315</v>
      </c>
      <c r="D117" s="854" t="s">
        <v>1669</v>
      </c>
      <c r="E117" s="852" t="s">
        <v>1316</v>
      </c>
      <c r="F117" s="852">
        <v>9</v>
      </c>
      <c r="G117" s="855">
        <v>5005</v>
      </c>
      <c r="H117" s="855"/>
      <c r="I117" s="855"/>
      <c r="J117" s="855"/>
      <c r="K117" s="855"/>
      <c r="L117" s="855"/>
      <c r="M117" s="855"/>
      <c r="N117" s="855"/>
      <c r="O117" s="856">
        <v>0.25</v>
      </c>
      <c r="P117" s="857">
        <f>G117*O117</f>
        <v>1251.25</v>
      </c>
      <c r="Q117" s="855"/>
      <c r="R117" s="855">
        <f t="shared" si="145"/>
        <v>6256.25</v>
      </c>
      <c r="S117" s="855">
        <v>1</v>
      </c>
      <c r="T117" s="855"/>
      <c r="U117" s="855"/>
      <c r="V117" s="855"/>
      <c r="W117" s="855"/>
      <c r="X117" s="852">
        <v>32</v>
      </c>
      <c r="Y117" s="856">
        <v>0.3</v>
      </c>
      <c r="Z117" s="855">
        <f t="shared" si="146"/>
        <v>1876.875</v>
      </c>
      <c r="AA117" s="855"/>
      <c r="AB117" s="855">
        <f>(R117+Z117)*S117</f>
        <v>8133.125</v>
      </c>
      <c r="AC117" s="860">
        <f t="shared" si="147"/>
        <v>5366.875</v>
      </c>
      <c r="AD117" s="860">
        <f t="shared" si="148"/>
        <v>13500</v>
      </c>
      <c r="AE117" s="861">
        <f t="shared" si="149"/>
        <v>13500</v>
      </c>
      <c r="AF117" s="861">
        <f t="shared" si="150"/>
        <v>5366.875</v>
      </c>
      <c r="AG117" s="862">
        <f>6700*S117</f>
        <v>6700</v>
      </c>
      <c r="AH117" s="861">
        <f>AG117-(R117*S117)-Z117</f>
        <v>-1433.125</v>
      </c>
      <c r="AI117" s="863">
        <f t="shared" si="151"/>
        <v>5005</v>
      </c>
      <c r="AJ117" s="863">
        <f t="shared" si="152"/>
        <v>0</v>
      </c>
      <c r="AK117" s="863">
        <f t="shared" si="153"/>
        <v>6256.25</v>
      </c>
      <c r="AL117" s="863">
        <f t="shared" si="154"/>
        <v>0</v>
      </c>
      <c r="AM117" s="863">
        <f t="shared" si="155"/>
        <v>1251.25</v>
      </c>
      <c r="AN117" s="863">
        <f t="shared" si="156"/>
        <v>0</v>
      </c>
      <c r="AO117" s="864">
        <f t="shared" si="157"/>
        <v>1876.875</v>
      </c>
      <c r="AP117" s="864">
        <f t="shared" si="158"/>
        <v>0</v>
      </c>
      <c r="AQ117" s="864">
        <f t="shared" si="159"/>
        <v>0</v>
      </c>
      <c r="AR117" s="864">
        <f t="shared" si="160"/>
        <v>0</v>
      </c>
      <c r="AS117" s="864">
        <f t="shared" si="161"/>
        <v>0</v>
      </c>
      <c r="AT117" s="835">
        <f t="shared" si="120"/>
        <v>6256.25</v>
      </c>
      <c r="AU117" s="835">
        <f t="shared" si="121"/>
        <v>0</v>
      </c>
      <c r="AV117" s="863"/>
      <c r="AW117" s="945">
        <f t="shared" si="162"/>
        <v>6256.25</v>
      </c>
    </row>
    <row r="118" spans="2:55" s="196" customFormat="1" ht="31.5">
      <c r="B118" s="852"/>
      <c r="C118" s="870" t="s">
        <v>504</v>
      </c>
      <c r="D118" s="871"/>
      <c r="E118" s="865"/>
      <c r="F118" s="872"/>
      <c r="G118" s="873">
        <f>SUM(G107:G117)</f>
        <v>53465</v>
      </c>
      <c r="H118" s="922"/>
      <c r="I118" s="873"/>
      <c r="J118" s="922"/>
      <c r="K118" s="873"/>
      <c r="L118" s="873"/>
      <c r="M118" s="922"/>
      <c r="N118" s="873"/>
      <c r="O118" s="922"/>
      <c r="P118" s="873"/>
      <c r="Q118" s="873"/>
      <c r="R118" s="873">
        <f>SUM(R107:R117)</f>
        <v>54716.25</v>
      </c>
      <c r="S118" s="873">
        <f>SUM(S107:S117)</f>
        <v>11</v>
      </c>
      <c r="T118" s="873">
        <f>SUM(T107:T117)</f>
        <v>0</v>
      </c>
      <c r="U118" s="873"/>
      <c r="V118" s="873"/>
      <c r="W118" s="873"/>
      <c r="X118" s="873"/>
      <c r="Y118" s="873"/>
      <c r="Z118" s="873">
        <f>SUM(Z107:Z117)</f>
        <v>12728.875</v>
      </c>
      <c r="AA118" s="873">
        <f>SUM(AA107:AA117)</f>
        <v>7688</v>
      </c>
      <c r="AB118" s="873">
        <f>SUM(AB107:AB117)</f>
        <v>75133.125</v>
      </c>
      <c r="AC118" s="873">
        <f t="shared" ref="AC118:AW118" si="167">SUM(AC107:AC117)</f>
        <v>73366.875</v>
      </c>
      <c r="AD118" s="873">
        <f t="shared" si="167"/>
        <v>148500</v>
      </c>
      <c r="AE118" s="873">
        <f t="shared" si="167"/>
        <v>148500</v>
      </c>
      <c r="AF118" s="873">
        <f t="shared" si="167"/>
        <v>73366.875</v>
      </c>
      <c r="AG118" s="873">
        <f t="shared" si="167"/>
        <v>73700</v>
      </c>
      <c r="AH118" s="873">
        <f t="shared" si="167"/>
        <v>6254.875</v>
      </c>
      <c r="AI118" s="873">
        <f t="shared" si="167"/>
        <v>53465</v>
      </c>
      <c r="AJ118" s="873">
        <f t="shared" si="167"/>
        <v>0</v>
      </c>
      <c r="AK118" s="873">
        <f t="shared" si="167"/>
        <v>54716.25</v>
      </c>
      <c r="AL118" s="873">
        <f t="shared" si="167"/>
        <v>0</v>
      </c>
      <c r="AM118" s="873">
        <f t="shared" si="167"/>
        <v>1251.25</v>
      </c>
      <c r="AN118" s="873">
        <f t="shared" si="167"/>
        <v>0</v>
      </c>
      <c r="AO118" s="873">
        <f t="shared" si="167"/>
        <v>12728.875</v>
      </c>
      <c r="AP118" s="873">
        <f t="shared" si="167"/>
        <v>0</v>
      </c>
      <c r="AQ118" s="873">
        <f t="shared" si="167"/>
        <v>7688</v>
      </c>
      <c r="AR118" s="873">
        <f t="shared" si="167"/>
        <v>0</v>
      </c>
      <c r="AS118" s="873">
        <f t="shared" si="167"/>
        <v>0</v>
      </c>
      <c r="AT118" s="873">
        <f t="shared" si="167"/>
        <v>54716.25</v>
      </c>
      <c r="AU118" s="873">
        <f t="shared" si="167"/>
        <v>0</v>
      </c>
      <c r="AV118" s="873">
        <f t="shared" si="167"/>
        <v>0</v>
      </c>
      <c r="AW118" s="873">
        <f t="shared" si="167"/>
        <v>54716.25</v>
      </c>
    </row>
    <row r="119" spans="2:55" s="196" customFormat="1" ht="31.5">
      <c r="B119" s="852"/>
      <c r="C119" s="870" t="s">
        <v>1547</v>
      </c>
      <c r="D119" s="871"/>
      <c r="E119" s="865"/>
      <c r="F119" s="872"/>
      <c r="G119" s="921">
        <f>G105+G118</f>
        <v>166463</v>
      </c>
      <c r="H119" s="873"/>
      <c r="I119" s="873"/>
      <c r="J119" s="873"/>
      <c r="K119" s="873"/>
      <c r="L119" s="873"/>
      <c r="M119" s="873"/>
      <c r="N119" s="873"/>
      <c r="O119" s="873"/>
      <c r="P119" s="873"/>
      <c r="Q119" s="873"/>
      <c r="R119" s="873">
        <f t="shared" ref="R119:AB119" si="168">R105+R118</f>
        <v>178946.1</v>
      </c>
      <c r="S119" s="873">
        <f t="shared" si="168"/>
        <v>25.25</v>
      </c>
      <c r="T119" s="873">
        <f t="shared" si="168"/>
        <v>1</v>
      </c>
      <c r="U119" s="873"/>
      <c r="V119" s="873"/>
      <c r="W119" s="873"/>
      <c r="X119" s="873"/>
      <c r="Y119" s="873"/>
      <c r="Z119" s="873">
        <f t="shared" si="168"/>
        <v>35552.904999999999</v>
      </c>
      <c r="AA119" s="873">
        <f t="shared" si="168"/>
        <v>10621.081249999999</v>
      </c>
      <c r="AB119" s="873">
        <f t="shared" si="168"/>
        <v>204529.5975</v>
      </c>
      <c r="AC119" s="873">
        <f t="shared" ref="AC119:AW119" si="169">AC105+AC118</f>
        <v>248970.4025</v>
      </c>
      <c r="AD119" s="873">
        <f t="shared" si="169"/>
        <v>453500</v>
      </c>
      <c r="AE119" s="873">
        <f t="shared" si="169"/>
        <v>453500</v>
      </c>
      <c r="AF119" s="873">
        <f t="shared" si="169"/>
        <v>248970.4025</v>
      </c>
      <c r="AG119" s="873">
        <f t="shared" si="169"/>
        <v>175875</v>
      </c>
      <c r="AH119" s="873">
        <f t="shared" si="169"/>
        <v>32439.713750000003</v>
      </c>
      <c r="AI119" s="873">
        <f t="shared" si="169"/>
        <v>142596.25</v>
      </c>
      <c r="AJ119" s="873">
        <f t="shared" si="169"/>
        <v>6350</v>
      </c>
      <c r="AK119" s="873">
        <f t="shared" si="169"/>
        <v>151581.42499999999</v>
      </c>
      <c r="AL119" s="873">
        <f t="shared" si="169"/>
        <v>7630.85</v>
      </c>
      <c r="AM119" s="873">
        <f t="shared" si="169"/>
        <v>8985.1750000000011</v>
      </c>
      <c r="AN119" s="873">
        <f t="shared" si="169"/>
        <v>1280.8499999999999</v>
      </c>
      <c r="AO119" s="873">
        <f t="shared" si="169"/>
        <v>33990.946250000001</v>
      </c>
      <c r="AP119" s="873">
        <f t="shared" si="169"/>
        <v>705.29500000000007</v>
      </c>
      <c r="AQ119" s="873">
        <f t="shared" si="169"/>
        <v>10621.081249999999</v>
      </c>
      <c r="AR119" s="873">
        <f t="shared" si="169"/>
        <v>0</v>
      </c>
      <c r="AS119" s="873">
        <f t="shared" si="169"/>
        <v>0</v>
      </c>
      <c r="AT119" s="873">
        <f t="shared" si="169"/>
        <v>151581.42499999999</v>
      </c>
      <c r="AU119" s="873">
        <f t="shared" si="169"/>
        <v>7630.85</v>
      </c>
      <c r="AV119" s="873">
        <f t="shared" si="169"/>
        <v>0</v>
      </c>
      <c r="AW119" s="873">
        <f t="shared" si="169"/>
        <v>159212.27499999999</v>
      </c>
    </row>
    <row r="120" spans="2:55" s="196" customFormat="1" ht="33">
      <c r="B120" s="770"/>
      <c r="C120" s="810" t="s">
        <v>659</v>
      </c>
      <c r="D120" s="811"/>
      <c r="E120" s="812"/>
      <c r="F120" s="812"/>
      <c r="G120" s="812"/>
      <c r="H120" s="813"/>
      <c r="I120" s="812"/>
      <c r="J120" s="813"/>
      <c r="K120" s="812"/>
      <c r="L120" s="812"/>
      <c r="M120" s="813"/>
      <c r="N120" s="812"/>
      <c r="O120" s="813"/>
      <c r="P120" s="812"/>
      <c r="Q120" s="812"/>
      <c r="R120" s="812"/>
      <c r="S120" s="812"/>
      <c r="T120" s="802"/>
      <c r="U120" s="812"/>
      <c r="V120" s="812"/>
      <c r="W120" s="812"/>
      <c r="X120" s="812"/>
      <c r="Y120" s="812"/>
      <c r="Z120" s="812"/>
      <c r="AA120" s="812"/>
      <c r="AB120" s="812"/>
      <c r="AC120" s="834"/>
      <c r="AD120" s="834"/>
      <c r="AE120" s="815"/>
      <c r="AF120" s="815"/>
      <c r="AG120" s="816"/>
      <c r="AH120" s="815"/>
      <c r="AI120" s="828"/>
      <c r="AJ120" s="828"/>
      <c r="AK120" s="828"/>
      <c r="AL120" s="828"/>
      <c r="AM120" s="828"/>
      <c r="AN120" s="828"/>
      <c r="AO120" s="830"/>
      <c r="AP120" s="830"/>
      <c r="AQ120" s="830"/>
      <c r="AR120" s="830"/>
      <c r="AS120" s="830"/>
      <c r="AT120" s="835"/>
      <c r="AU120" s="835"/>
      <c r="AV120" s="828"/>
      <c r="AW120" s="944"/>
    </row>
    <row r="121" spans="2:55" s="196" customFormat="1" ht="33">
      <c r="B121" s="770"/>
      <c r="C121" s="810" t="s">
        <v>539</v>
      </c>
      <c r="D121" s="811"/>
      <c r="E121" s="812"/>
      <c r="F121" s="812"/>
      <c r="G121" s="812"/>
      <c r="H121" s="813"/>
      <c r="I121" s="812"/>
      <c r="J121" s="813"/>
      <c r="K121" s="812"/>
      <c r="L121" s="812"/>
      <c r="M121" s="813"/>
      <c r="N121" s="812"/>
      <c r="O121" s="813"/>
      <c r="P121" s="812"/>
      <c r="Q121" s="812"/>
      <c r="R121" s="812"/>
      <c r="S121" s="812"/>
      <c r="T121" s="802"/>
      <c r="U121" s="812"/>
      <c r="V121" s="812"/>
      <c r="W121" s="812"/>
      <c r="X121" s="812"/>
      <c r="Y121" s="812"/>
      <c r="Z121" s="812"/>
      <c r="AA121" s="812"/>
      <c r="AB121" s="812"/>
      <c r="AC121" s="834"/>
      <c r="AD121" s="834"/>
      <c r="AE121" s="815"/>
      <c r="AF121" s="815"/>
      <c r="AG121" s="816"/>
      <c r="AH121" s="815"/>
      <c r="AI121" s="828"/>
      <c r="AJ121" s="828"/>
      <c r="AK121" s="828"/>
      <c r="AL121" s="828"/>
      <c r="AM121" s="828"/>
      <c r="AN121" s="828"/>
      <c r="AO121" s="830"/>
      <c r="AP121" s="830"/>
      <c r="AQ121" s="830"/>
      <c r="AR121" s="830"/>
      <c r="AS121" s="830"/>
      <c r="AT121" s="835"/>
      <c r="AU121" s="835"/>
      <c r="AV121" s="828"/>
      <c r="AW121" s="944"/>
    </row>
    <row r="122" spans="2:55" s="196" customFormat="1" ht="33">
      <c r="B122" s="770"/>
      <c r="C122" s="851" t="s">
        <v>1720</v>
      </c>
      <c r="D122" s="845"/>
      <c r="E122" s="846"/>
      <c r="F122" s="846"/>
      <c r="G122" s="846"/>
      <c r="H122" s="847"/>
      <c r="I122" s="846"/>
      <c r="J122" s="847"/>
      <c r="K122" s="846"/>
      <c r="L122" s="846"/>
      <c r="M122" s="847"/>
      <c r="N122" s="846"/>
      <c r="O122" s="847"/>
      <c r="P122" s="846"/>
      <c r="Q122" s="846"/>
      <c r="R122" s="846"/>
      <c r="S122" s="846"/>
      <c r="T122" s="846"/>
      <c r="U122" s="846"/>
      <c r="V122" s="846"/>
      <c r="W122" s="846"/>
      <c r="X122" s="846"/>
      <c r="Y122" s="846"/>
      <c r="Z122" s="846"/>
      <c r="AA122" s="846"/>
      <c r="AB122" s="846"/>
      <c r="AC122" s="848"/>
      <c r="AD122" s="848"/>
      <c r="AE122" s="849"/>
      <c r="AF122" s="849"/>
      <c r="AG122" s="850"/>
      <c r="AH122" s="849"/>
      <c r="AI122" s="828"/>
      <c r="AJ122" s="828"/>
      <c r="AK122" s="828"/>
      <c r="AL122" s="828"/>
      <c r="AM122" s="828"/>
      <c r="AN122" s="828"/>
      <c r="AO122" s="830"/>
      <c r="AP122" s="830"/>
      <c r="AQ122" s="830"/>
      <c r="AR122" s="830"/>
      <c r="AS122" s="830"/>
      <c r="AT122" s="835"/>
      <c r="AU122" s="835"/>
      <c r="AV122" s="828"/>
      <c r="AW122" s="944"/>
      <c r="BC122" s="197"/>
    </row>
    <row r="123" spans="2:55" s="196" customFormat="1" ht="58.5">
      <c r="B123" s="770"/>
      <c r="C123" s="819" t="s">
        <v>1257</v>
      </c>
      <c r="D123" s="820" t="s">
        <v>1258</v>
      </c>
      <c r="E123" s="770" t="s">
        <v>1259</v>
      </c>
      <c r="F123" s="770">
        <v>14</v>
      </c>
      <c r="G123" s="821">
        <v>7001</v>
      </c>
      <c r="H123" s="824">
        <v>0.2</v>
      </c>
      <c r="I123" s="770">
        <f>G123*H123</f>
        <v>1400.2</v>
      </c>
      <c r="J123" s="824">
        <v>0.4</v>
      </c>
      <c r="K123" s="829">
        <f>(G123+I123)*J123</f>
        <v>3360.4800000000005</v>
      </c>
      <c r="L123" s="824"/>
      <c r="M123" s="770"/>
      <c r="N123" s="770"/>
      <c r="O123" s="770"/>
      <c r="P123" s="770"/>
      <c r="Q123" s="770"/>
      <c r="R123" s="821">
        <f t="shared" ref="R123:R128" si="170">G123+I123+K123+L123+N123+P123+Q123</f>
        <v>11761.68</v>
      </c>
      <c r="S123" s="821">
        <v>1</v>
      </c>
      <c r="T123" s="831"/>
      <c r="U123" s="770"/>
      <c r="V123" s="770"/>
      <c r="W123" s="770"/>
      <c r="X123" s="770">
        <v>29</v>
      </c>
      <c r="Y123" s="824">
        <v>0.3</v>
      </c>
      <c r="Z123" s="821">
        <f t="shared" ref="Z123:Z128" si="171">R123*Y123</f>
        <v>3528.5039999999999</v>
      </c>
      <c r="AA123" s="821"/>
      <c r="AB123" s="821">
        <f>(R123+Z123)*S123</f>
        <v>15290.184000000001</v>
      </c>
      <c r="AC123" s="825">
        <f t="shared" ref="AC123:AC128" si="172">AF123</f>
        <v>4709.8159999999989</v>
      </c>
      <c r="AD123" s="825">
        <f t="shared" ref="AD123:AD128" si="173">AB123+AC123</f>
        <v>20000</v>
      </c>
      <c r="AE123" s="826">
        <f>20000*S123</f>
        <v>20000</v>
      </c>
      <c r="AF123" s="826">
        <f t="shared" ref="AF123:AF128" si="174">AE123-AB123</f>
        <v>4709.8159999999989</v>
      </c>
      <c r="AG123" s="827">
        <f>6700*S123</f>
        <v>6700</v>
      </c>
      <c r="AH123" s="826">
        <f t="shared" ref="AH123:AH128" si="175">AB123-AG123</f>
        <v>8590.1840000000011</v>
      </c>
      <c r="AI123" s="828">
        <f t="shared" ref="AI123:AI128" si="176">G123*S123</f>
        <v>7001</v>
      </c>
      <c r="AJ123" s="828">
        <f t="shared" ref="AJ123:AJ128" si="177">G123*T123</f>
        <v>0</v>
      </c>
      <c r="AK123" s="828">
        <f t="shared" ref="AK123:AK128" si="178">R123*S123</f>
        <v>11761.68</v>
      </c>
      <c r="AL123" s="828">
        <f t="shared" ref="AL123:AL128" si="179">R123*T123</f>
        <v>0</v>
      </c>
      <c r="AM123" s="828">
        <f t="shared" ref="AM123:AN128" si="180">AK123-AI123</f>
        <v>4760.68</v>
      </c>
      <c r="AN123" s="828">
        <f t="shared" si="180"/>
        <v>0</v>
      </c>
      <c r="AO123" s="830">
        <f t="shared" ref="AO123:AO128" si="181">Z123*S123</f>
        <v>3528.5039999999999</v>
      </c>
      <c r="AP123" s="830">
        <f t="shared" ref="AP123:AP128" si="182">Z123*T123</f>
        <v>0</v>
      </c>
      <c r="AQ123" s="830">
        <f t="shared" ref="AQ123:AQ128" si="183">AA123</f>
        <v>0</v>
      </c>
      <c r="AR123" s="830">
        <f t="shared" ref="AR123:AR128" si="184">W123*S123</f>
        <v>0</v>
      </c>
      <c r="AS123" s="830">
        <f t="shared" ref="AS123:AS128" si="185">W123*T123</f>
        <v>0</v>
      </c>
      <c r="AT123" s="835">
        <f t="shared" si="120"/>
        <v>11761.68</v>
      </c>
      <c r="AU123" s="835">
        <f t="shared" si="121"/>
        <v>0</v>
      </c>
      <c r="AV123" s="828"/>
      <c r="AW123" s="944">
        <f t="shared" ref="AW123:AW128" si="186">AT123+AU123-AV123</f>
        <v>11761.68</v>
      </c>
    </row>
    <row r="124" spans="2:55" s="196" customFormat="1" ht="87.75">
      <c r="B124" s="770"/>
      <c r="C124" s="819" t="s">
        <v>508</v>
      </c>
      <c r="D124" s="820" t="s">
        <v>786</v>
      </c>
      <c r="E124" s="770" t="s">
        <v>1260</v>
      </c>
      <c r="F124" s="770">
        <v>14</v>
      </c>
      <c r="G124" s="821">
        <v>7001</v>
      </c>
      <c r="H124" s="770"/>
      <c r="I124" s="770"/>
      <c r="J124" s="824">
        <v>0.2</v>
      </c>
      <c r="K124" s="829">
        <f>(G124+I124)*J124</f>
        <v>1400.2</v>
      </c>
      <c r="L124" s="824"/>
      <c r="M124" s="770"/>
      <c r="N124" s="770"/>
      <c r="O124" s="770"/>
      <c r="P124" s="770"/>
      <c r="Q124" s="770"/>
      <c r="R124" s="821">
        <f>G124+I124+K124+L124+N124+P124+Q124</f>
        <v>8401.2000000000007</v>
      </c>
      <c r="S124" s="821">
        <v>1</v>
      </c>
      <c r="T124" s="831"/>
      <c r="U124" s="770"/>
      <c r="V124" s="770"/>
      <c r="W124" s="770"/>
      <c r="X124" s="770">
        <v>33</v>
      </c>
      <c r="Y124" s="824">
        <v>0.3</v>
      </c>
      <c r="Z124" s="821">
        <f>R124*Y124</f>
        <v>2520.36</v>
      </c>
      <c r="AA124" s="821"/>
      <c r="AB124" s="821">
        <f>(R124+Z124)*S124</f>
        <v>10921.560000000001</v>
      </c>
      <c r="AC124" s="825">
        <f>AF124</f>
        <v>9078.4399999999987</v>
      </c>
      <c r="AD124" s="825">
        <f>AB124+AC124</f>
        <v>20000</v>
      </c>
      <c r="AE124" s="826">
        <f>20000*S124</f>
        <v>20000</v>
      </c>
      <c r="AF124" s="826">
        <f>AE124-AB124</f>
        <v>9078.4399999999987</v>
      </c>
      <c r="AG124" s="827">
        <f>6700*S124</f>
        <v>6700</v>
      </c>
      <c r="AH124" s="826">
        <f>AB124-AG124</f>
        <v>4221.5600000000013</v>
      </c>
      <c r="AI124" s="828">
        <f>G124*S124</f>
        <v>7001</v>
      </c>
      <c r="AJ124" s="828">
        <f>G124*T124</f>
        <v>0</v>
      </c>
      <c r="AK124" s="828">
        <f t="shared" si="178"/>
        <v>8401.2000000000007</v>
      </c>
      <c r="AL124" s="828">
        <f t="shared" si="179"/>
        <v>0</v>
      </c>
      <c r="AM124" s="828">
        <f t="shared" si="180"/>
        <v>1400.2000000000007</v>
      </c>
      <c r="AN124" s="828">
        <f t="shared" si="180"/>
        <v>0</v>
      </c>
      <c r="AO124" s="830">
        <f t="shared" si="181"/>
        <v>2520.36</v>
      </c>
      <c r="AP124" s="830">
        <f t="shared" si="182"/>
        <v>0</v>
      </c>
      <c r="AQ124" s="830">
        <f t="shared" si="183"/>
        <v>0</v>
      </c>
      <c r="AR124" s="830">
        <f t="shared" si="184"/>
        <v>0</v>
      </c>
      <c r="AS124" s="830">
        <f t="shared" si="185"/>
        <v>0</v>
      </c>
      <c r="AT124" s="835">
        <f t="shared" si="120"/>
        <v>8401.2000000000007</v>
      </c>
      <c r="AU124" s="835">
        <f t="shared" si="121"/>
        <v>0</v>
      </c>
      <c r="AV124" s="828"/>
      <c r="AW124" s="944">
        <f t="shared" si="186"/>
        <v>8401.2000000000007</v>
      </c>
    </row>
    <row r="125" spans="2:55" s="196" customFormat="1" ht="58.5">
      <c r="B125" s="770"/>
      <c r="C125" s="819" t="s">
        <v>508</v>
      </c>
      <c r="D125" s="820" t="s">
        <v>1654</v>
      </c>
      <c r="E125" s="770" t="s">
        <v>1301</v>
      </c>
      <c r="F125" s="770">
        <v>11</v>
      </c>
      <c r="G125" s="821">
        <v>5699</v>
      </c>
      <c r="H125" s="770"/>
      <c r="I125" s="770"/>
      <c r="J125" s="824">
        <v>0.2</v>
      </c>
      <c r="K125" s="829">
        <f>(G125+I125)*J125</f>
        <v>1139.8</v>
      </c>
      <c r="L125" s="824"/>
      <c r="M125" s="770"/>
      <c r="N125" s="770"/>
      <c r="O125" s="770"/>
      <c r="P125" s="770"/>
      <c r="Q125" s="770"/>
      <c r="R125" s="821">
        <f>G125+I125+K125+L125+N125+P125+Q125</f>
        <v>6838.8</v>
      </c>
      <c r="S125" s="821">
        <v>1</v>
      </c>
      <c r="T125" s="821"/>
      <c r="U125" s="770"/>
      <c r="V125" s="770"/>
      <c r="W125" s="770"/>
      <c r="X125" s="770">
        <v>4</v>
      </c>
      <c r="Y125" s="824">
        <v>0.1</v>
      </c>
      <c r="Z125" s="821">
        <f>R125*Y125</f>
        <v>683.88000000000011</v>
      </c>
      <c r="AA125" s="821"/>
      <c r="AB125" s="821">
        <f>(R125+Z125)*S125</f>
        <v>7522.68</v>
      </c>
      <c r="AC125" s="825">
        <f>AF125</f>
        <v>12477.32</v>
      </c>
      <c r="AD125" s="825">
        <f>AB125+AC125</f>
        <v>20000</v>
      </c>
      <c r="AE125" s="826">
        <f>20000*S125</f>
        <v>20000</v>
      </c>
      <c r="AF125" s="826">
        <f>AE125-AB125</f>
        <v>12477.32</v>
      </c>
      <c r="AG125" s="827">
        <f>6700*S125</f>
        <v>6700</v>
      </c>
      <c r="AH125" s="826">
        <f>AB125-AG125</f>
        <v>822.68000000000029</v>
      </c>
      <c r="AI125" s="828">
        <f>G125*S125</f>
        <v>5699</v>
      </c>
      <c r="AJ125" s="828">
        <f>G125*T125</f>
        <v>0</v>
      </c>
      <c r="AK125" s="828">
        <f t="shared" si="178"/>
        <v>6838.8</v>
      </c>
      <c r="AL125" s="828">
        <f t="shared" si="179"/>
        <v>0</v>
      </c>
      <c r="AM125" s="828">
        <f t="shared" si="180"/>
        <v>1139.8000000000002</v>
      </c>
      <c r="AN125" s="828">
        <f t="shared" si="180"/>
        <v>0</v>
      </c>
      <c r="AO125" s="830">
        <f t="shared" si="181"/>
        <v>683.88000000000011</v>
      </c>
      <c r="AP125" s="830">
        <f t="shared" si="182"/>
        <v>0</v>
      </c>
      <c r="AQ125" s="830">
        <f t="shared" si="183"/>
        <v>0</v>
      </c>
      <c r="AR125" s="830">
        <f t="shared" si="184"/>
        <v>0</v>
      </c>
      <c r="AS125" s="830">
        <f t="shared" si="185"/>
        <v>0</v>
      </c>
      <c r="AT125" s="835">
        <f t="shared" si="120"/>
        <v>6838.8</v>
      </c>
      <c r="AU125" s="835">
        <f t="shared" si="121"/>
        <v>0</v>
      </c>
      <c r="AV125" s="828"/>
      <c r="AW125" s="944">
        <f t="shared" si="186"/>
        <v>6838.8</v>
      </c>
    </row>
    <row r="126" spans="2:55" s="196" customFormat="1" ht="33">
      <c r="B126" s="770"/>
      <c r="C126" s="819" t="s">
        <v>508</v>
      </c>
      <c r="D126" s="820"/>
      <c r="E126" s="770" t="s">
        <v>511</v>
      </c>
      <c r="F126" s="770">
        <v>11</v>
      </c>
      <c r="G126" s="821">
        <v>5699</v>
      </c>
      <c r="H126" s="770"/>
      <c r="I126" s="770"/>
      <c r="J126" s="824">
        <v>0.2</v>
      </c>
      <c r="K126" s="829">
        <f>(G126+I126)*J126</f>
        <v>1139.8</v>
      </c>
      <c r="L126" s="824"/>
      <c r="M126" s="770"/>
      <c r="N126" s="770"/>
      <c r="O126" s="770"/>
      <c r="P126" s="770"/>
      <c r="Q126" s="770"/>
      <c r="R126" s="821">
        <f>G126+I126+K126+L126+N126+P126+Q126</f>
        <v>6838.8</v>
      </c>
      <c r="S126" s="821">
        <v>1</v>
      </c>
      <c r="T126" s="821"/>
      <c r="U126" s="770"/>
      <c r="V126" s="770"/>
      <c r="W126" s="770"/>
      <c r="X126" s="770"/>
      <c r="Y126" s="824">
        <v>0</v>
      </c>
      <c r="Z126" s="821">
        <f>R126*Y126</f>
        <v>0</v>
      </c>
      <c r="AA126" s="821"/>
      <c r="AB126" s="821">
        <f>(R126+Z126)*S126</f>
        <v>6838.8</v>
      </c>
      <c r="AC126" s="825">
        <f>AF126</f>
        <v>13161.2</v>
      </c>
      <c r="AD126" s="825">
        <f>AB126+AC126</f>
        <v>20000</v>
      </c>
      <c r="AE126" s="826">
        <f>20000*S126</f>
        <v>20000</v>
      </c>
      <c r="AF126" s="826">
        <f>AE126-AB126</f>
        <v>13161.2</v>
      </c>
      <c r="AG126" s="827">
        <f>6700*S126</f>
        <v>6700</v>
      </c>
      <c r="AH126" s="826">
        <f>AB126-AG126</f>
        <v>138.80000000000018</v>
      </c>
      <c r="AI126" s="828">
        <f>G126*S126</f>
        <v>5699</v>
      </c>
      <c r="AJ126" s="828">
        <f>G126*T126</f>
        <v>0</v>
      </c>
      <c r="AK126" s="828">
        <f t="shared" si="178"/>
        <v>6838.8</v>
      </c>
      <c r="AL126" s="828">
        <f t="shared" si="179"/>
        <v>0</v>
      </c>
      <c r="AM126" s="828">
        <f t="shared" si="180"/>
        <v>1139.8000000000002</v>
      </c>
      <c r="AN126" s="828">
        <f t="shared" si="180"/>
        <v>0</v>
      </c>
      <c r="AO126" s="830">
        <f t="shared" si="181"/>
        <v>0</v>
      </c>
      <c r="AP126" s="830">
        <f t="shared" si="182"/>
        <v>0</v>
      </c>
      <c r="AQ126" s="830">
        <f t="shared" si="183"/>
        <v>0</v>
      </c>
      <c r="AR126" s="830">
        <f t="shared" si="184"/>
        <v>0</v>
      </c>
      <c r="AS126" s="830">
        <f t="shared" si="185"/>
        <v>0</v>
      </c>
      <c r="AT126" s="835">
        <f t="shared" si="120"/>
        <v>6838.8</v>
      </c>
      <c r="AU126" s="835">
        <f t="shared" si="121"/>
        <v>0</v>
      </c>
      <c r="AV126" s="828"/>
      <c r="AW126" s="944">
        <f t="shared" si="186"/>
        <v>6838.8</v>
      </c>
    </row>
    <row r="127" spans="2:55" s="196" customFormat="1" ht="58.5">
      <c r="B127" s="770"/>
      <c r="C127" s="819" t="s">
        <v>1655</v>
      </c>
      <c r="D127" s="820" t="s">
        <v>1656</v>
      </c>
      <c r="E127" s="770" t="s">
        <v>1657</v>
      </c>
      <c r="F127" s="770">
        <v>13</v>
      </c>
      <c r="G127" s="821">
        <v>6567</v>
      </c>
      <c r="H127" s="770"/>
      <c r="I127" s="770"/>
      <c r="J127" s="770"/>
      <c r="K127" s="770"/>
      <c r="L127" s="770"/>
      <c r="M127" s="770"/>
      <c r="N127" s="874"/>
      <c r="O127" s="824">
        <v>0.15</v>
      </c>
      <c r="P127" s="829">
        <f>G127*O127</f>
        <v>985.05</v>
      </c>
      <c r="Q127" s="824"/>
      <c r="R127" s="821">
        <f t="shared" si="170"/>
        <v>7552.05</v>
      </c>
      <c r="S127" s="821"/>
      <c r="T127" s="821">
        <v>0.5</v>
      </c>
      <c r="U127" s="770"/>
      <c r="V127" s="770"/>
      <c r="W127" s="770"/>
      <c r="X127" s="770">
        <v>9</v>
      </c>
      <c r="Y127" s="824">
        <v>0.1</v>
      </c>
      <c r="Z127" s="821">
        <f t="shared" si="171"/>
        <v>755.20500000000004</v>
      </c>
      <c r="AA127" s="821"/>
      <c r="AB127" s="821">
        <f>(R127+Z127)*T127</f>
        <v>4153.6275000000005</v>
      </c>
      <c r="AC127" s="825">
        <f t="shared" si="172"/>
        <v>5846.3724999999995</v>
      </c>
      <c r="AD127" s="825">
        <f t="shared" si="173"/>
        <v>10000</v>
      </c>
      <c r="AE127" s="826">
        <f>20000*T127</f>
        <v>10000</v>
      </c>
      <c r="AF127" s="826">
        <f t="shared" si="174"/>
        <v>5846.3724999999995</v>
      </c>
      <c r="AG127" s="827">
        <f>6700*T127</f>
        <v>3350</v>
      </c>
      <c r="AH127" s="826">
        <f t="shared" si="175"/>
        <v>803.62750000000051</v>
      </c>
      <c r="AI127" s="828">
        <f t="shared" si="176"/>
        <v>0</v>
      </c>
      <c r="AJ127" s="828">
        <f t="shared" si="177"/>
        <v>3283.5</v>
      </c>
      <c r="AK127" s="828">
        <f t="shared" si="178"/>
        <v>0</v>
      </c>
      <c r="AL127" s="828">
        <f t="shared" si="179"/>
        <v>3776.0250000000001</v>
      </c>
      <c r="AM127" s="828">
        <f t="shared" si="180"/>
        <v>0</v>
      </c>
      <c r="AN127" s="828">
        <f t="shared" si="180"/>
        <v>492.52500000000009</v>
      </c>
      <c r="AO127" s="830">
        <f t="shared" si="181"/>
        <v>0</v>
      </c>
      <c r="AP127" s="830">
        <f t="shared" si="182"/>
        <v>377.60250000000002</v>
      </c>
      <c r="AQ127" s="830">
        <f t="shared" si="183"/>
        <v>0</v>
      </c>
      <c r="AR127" s="830">
        <f t="shared" si="184"/>
        <v>0</v>
      </c>
      <c r="AS127" s="830">
        <f t="shared" si="185"/>
        <v>0</v>
      </c>
      <c r="AT127" s="835">
        <f t="shared" si="120"/>
        <v>0</v>
      </c>
      <c r="AU127" s="835">
        <f t="shared" si="121"/>
        <v>3776.0250000000001</v>
      </c>
      <c r="AV127" s="828"/>
      <c r="AW127" s="944">
        <f t="shared" si="186"/>
        <v>3776.0250000000001</v>
      </c>
    </row>
    <row r="128" spans="2:55" s="196" customFormat="1" ht="58.5">
      <c r="B128" s="770"/>
      <c r="C128" s="819" t="s">
        <v>1261</v>
      </c>
      <c r="D128" s="820" t="s">
        <v>1658</v>
      </c>
      <c r="E128" s="770" t="s">
        <v>1659</v>
      </c>
      <c r="F128" s="770">
        <v>13</v>
      </c>
      <c r="G128" s="821">
        <v>6567</v>
      </c>
      <c r="H128" s="770"/>
      <c r="I128" s="770"/>
      <c r="J128" s="770"/>
      <c r="K128" s="770"/>
      <c r="L128" s="770"/>
      <c r="M128" s="770"/>
      <c r="N128" s="874"/>
      <c r="O128" s="824">
        <v>0.15</v>
      </c>
      <c r="P128" s="829">
        <f>G128*O128</f>
        <v>985.05</v>
      </c>
      <c r="Q128" s="824"/>
      <c r="R128" s="821">
        <f t="shared" si="170"/>
        <v>7552.05</v>
      </c>
      <c r="S128" s="821"/>
      <c r="T128" s="821">
        <v>0.5</v>
      </c>
      <c r="U128" s="770"/>
      <c r="V128" s="770"/>
      <c r="W128" s="770"/>
      <c r="X128" s="770">
        <v>40</v>
      </c>
      <c r="Y128" s="824">
        <v>0.3</v>
      </c>
      <c r="Z128" s="821">
        <f t="shared" si="171"/>
        <v>2265.6149999999998</v>
      </c>
      <c r="AA128" s="821"/>
      <c r="AB128" s="821">
        <f>(R128+Z128)*T128</f>
        <v>4908.8325000000004</v>
      </c>
      <c r="AC128" s="825">
        <f t="shared" si="172"/>
        <v>5091.1674999999996</v>
      </c>
      <c r="AD128" s="825">
        <f t="shared" si="173"/>
        <v>10000</v>
      </c>
      <c r="AE128" s="826">
        <f>20000*T128</f>
        <v>10000</v>
      </c>
      <c r="AF128" s="826">
        <f t="shared" si="174"/>
        <v>5091.1674999999996</v>
      </c>
      <c r="AG128" s="827">
        <f>6700*T128</f>
        <v>3350</v>
      </c>
      <c r="AH128" s="826">
        <f t="shared" si="175"/>
        <v>1558.8325000000004</v>
      </c>
      <c r="AI128" s="828">
        <f t="shared" si="176"/>
        <v>0</v>
      </c>
      <c r="AJ128" s="828">
        <f t="shared" si="177"/>
        <v>3283.5</v>
      </c>
      <c r="AK128" s="828">
        <f t="shared" si="178"/>
        <v>0</v>
      </c>
      <c r="AL128" s="828">
        <f t="shared" si="179"/>
        <v>3776.0250000000001</v>
      </c>
      <c r="AM128" s="828">
        <f t="shared" si="180"/>
        <v>0</v>
      </c>
      <c r="AN128" s="828">
        <f t="shared" si="180"/>
        <v>492.52500000000009</v>
      </c>
      <c r="AO128" s="830">
        <f t="shared" si="181"/>
        <v>0</v>
      </c>
      <c r="AP128" s="830">
        <f t="shared" si="182"/>
        <v>1132.8074999999999</v>
      </c>
      <c r="AQ128" s="830">
        <f t="shared" si="183"/>
        <v>0</v>
      </c>
      <c r="AR128" s="830">
        <f t="shared" si="184"/>
        <v>0</v>
      </c>
      <c r="AS128" s="830">
        <f t="shared" si="185"/>
        <v>0</v>
      </c>
      <c r="AT128" s="835">
        <f t="shared" si="120"/>
        <v>0</v>
      </c>
      <c r="AU128" s="835">
        <f t="shared" si="121"/>
        <v>3776.0250000000001</v>
      </c>
      <c r="AV128" s="828"/>
      <c r="AW128" s="944">
        <f t="shared" si="186"/>
        <v>3776.0250000000001</v>
      </c>
    </row>
    <row r="129" spans="2:55" s="196" customFormat="1" ht="31.5">
      <c r="B129" s="770"/>
      <c r="C129" s="799" t="s">
        <v>504</v>
      </c>
      <c r="D129" s="832"/>
      <c r="E129" s="812"/>
      <c r="F129" s="812"/>
      <c r="G129" s="802">
        <f>SUM(G123:G128)</f>
        <v>38534</v>
      </c>
      <c r="H129" s="875"/>
      <c r="I129" s="802">
        <f>SUM(I123:I128)</f>
        <v>1400.2</v>
      </c>
      <c r="J129" s="875"/>
      <c r="K129" s="804">
        <f>SUM(K123:K128)</f>
        <v>7040.2800000000007</v>
      </c>
      <c r="L129" s="802"/>
      <c r="M129" s="875"/>
      <c r="N129" s="802"/>
      <c r="O129" s="875"/>
      <c r="P129" s="802">
        <f>SUM(P123:P128)</f>
        <v>1970.1</v>
      </c>
      <c r="Q129" s="802"/>
      <c r="R129" s="802">
        <f>SUM(R123:R128)</f>
        <v>48944.580000000009</v>
      </c>
      <c r="S129" s="802">
        <f>SUM(S123:S128)</f>
        <v>4</v>
      </c>
      <c r="T129" s="802">
        <f>SUM(T123:T128)</f>
        <v>1</v>
      </c>
      <c r="U129" s="802"/>
      <c r="V129" s="802"/>
      <c r="W129" s="802"/>
      <c r="X129" s="802"/>
      <c r="Y129" s="802"/>
      <c r="Z129" s="802">
        <f t="shared" ref="Z129:AW129" si="187">SUM(Z123:Z128)</f>
        <v>9753.5639999999985</v>
      </c>
      <c r="AA129" s="802">
        <f t="shared" si="187"/>
        <v>0</v>
      </c>
      <c r="AB129" s="802">
        <f t="shared" si="187"/>
        <v>49635.684000000008</v>
      </c>
      <c r="AC129" s="802">
        <f t="shared" si="187"/>
        <v>50364.315999999992</v>
      </c>
      <c r="AD129" s="802">
        <f t="shared" si="187"/>
        <v>100000</v>
      </c>
      <c r="AE129" s="802">
        <f t="shared" si="187"/>
        <v>100000</v>
      </c>
      <c r="AF129" s="802">
        <f t="shared" si="187"/>
        <v>50364.315999999992</v>
      </c>
      <c r="AG129" s="802">
        <f t="shared" si="187"/>
        <v>33500</v>
      </c>
      <c r="AH129" s="802">
        <f t="shared" si="187"/>
        <v>16135.684000000003</v>
      </c>
      <c r="AI129" s="802">
        <f t="shared" si="187"/>
        <v>25400</v>
      </c>
      <c r="AJ129" s="802">
        <f t="shared" si="187"/>
        <v>6567</v>
      </c>
      <c r="AK129" s="802">
        <f t="shared" si="187"/>
        <v>33840.480000000003</v>
      </c>
      <c r="AL129" s="802">
        <f t="shared" si="187"/>
        <v>7552.05</v>
      </c>
      <c r="AM129" s="802">
        <f t="shared" si="187"/>
        <v>8440.4800000000014</v>
      </c>
      <c r="AN129" s="802">
        <f t="shared" si="187"/>
        <v>985.05000000000018</v>
      </c>
      <c r="AO129" s="802">
        <f t="shared" si="187"/>
        <v>6732.7439999999997</v>
      </c>
      <c r="AP129" s="802">
        <f t="shared" si="187"/>
        <v>1510.4099999999999</v>
      </c>
      <c r="AQ129" s="802">
        <f t="shared" si="187"/>
        <v>0</v>
      </c>
      <c r="AR129" s="802">
        <f t="shared" si="187"/>
        <v>0</v>
      </c>
      <c r="AS129" s="802">
        <f t="shared" si="187"/>
        <v>0</v>
      </c>
      <c r="AT129" s="802">
        <f t="shared" si="187"/>
        <v>33840.480000000003</v>
      </c>
      <c r="AU129" s="802">
        <f t="shared" si="187"/>
        <v>7552.05</v>
      </c>
      <c r="AV129" s="802">
        <f t="shared" si="187"/>
        <v>0</v>
      </c>
      <c r="AW129" s="802">
        <f t="shared" si="187"/>
        <v>41392.530000000006</v>
      </c>
    </row>
    <row r="130" spans="2:55" s="196" customFormat="1" ht="33">
      <c r="B130" s="770"/>
      <c r="C130" s="851" t="s">
        <v>1988</v>
      </c>
      <c r="D130" s="845"/>
      <c r="E130" s="846"/>
      <c r="F130" s="846"/>
      <c r="G130" s="846"/>
      <c r="H130" s="847"/>
      <c r="I130" s="846"/>
      <c r="J130" s="847"/>
      <c r="K130" s="846"/>
      <c r="L130" s="846"/>
      <c r="M130" s="847"/>
      <c r="N130" s="846"/>
      <c r="O130" s="847"/>
      <c r="P130" s="846"/>
      <c r="Q130" s="846"/>
      <c r="R130" s="846"/>
      <c r="S130" s="846"/>
      <c r="T130" s="846"/>
      <c r="U130" s="846"/>
      <c r="V130" s="846"/>
      <c r="W130" s="846"/>
      <c r="X130" s="846"/>
      <c r="Y130" s="846"/>
      <c r="Z130" s="846"/>
      <c r="AA130" s="846"/>
      <c r="AB130" s="846"/>
      <c r="AC130" s="848"/>
      <c r="AD130" s="848"/>
      <c r="AE130" s="849"/>
      <c r="AF130" s="849"/>
      <c r="AG130" s="850"/>
      <c r="AH130" s="849"/>
      <c r="AI130" s="828"/>
      <c r="AJ130" s="828"/>
      <c r="AK130" s="828"/>
      <c r="AL130" s="828"/>
      <c r="AM130" s="828"/>
      <c r="AN130" s="828"/>
      <c r="AO130" s="830"/>
      <c r="AP130" s="830"/>
      <c r="AQ130" s="830"/>
      <c r="AR130" s="830"/>
      <c r="AS130" s="830"/>
      <c r="AT130" s="835"/>
      <c r="AU130" s="835"/>
      <c r="AV130" s="828"/>
      <c r="AW130" s="944"/>
      <c r="BC130" s="197"/>
    </row>
    <row r="131" spans="2:55" s="196" customFormat="1" ht="58.5">
      <c r="B131" s="770"/>
      <c r="C131" s="819" t="s">
        <v>1323</v>
      </c>
      <c r="D131" s="820" t="s">
        <v>1324</v>
      </c>
      <c r="E131" s="770" t="s">
        <v>1325</v>
      </c>
      <c r="F131" s="770">
        <v>10</v>
      </c>
      <c r="G131" s="821">
        <v>5265</v>
      </c>
      <c r="H131" s="824">
        <v>0.1</v>
      </c>
      <c r="I131" s="770">
        <f>G131*H131</f>
        <v>526.5</v>
      </c>
      <c r="J131" s="831"/>
      <c r="K131" s="831"/>
      <c r="L131" s="831"/>
      <c r="M131" s="831"/>
      <c r="N131" s="831"/>
      <c r="O131" s="831"/>
      <c r="P131" s="831"/>
      <c r="Q131" s="831"/>
      <c r="R131" s="821">
        <f t="shared" ref="R131:R140" si="188">G131+I131+K131+L131+N131+P131+Q131</f>
        <v>5791.5</v>
      </c>
      <c r="S131" s="821">
        <v>1</v>
      </c>
      <c r="T131" s="831"/>
      <c r="U131" s="831"/>
      <c r="V131" s="831"/>
      <c r="W131" s="831"/>
      <c r="X131" s="770">
        <v>23</v>
      </c>
      <c r="Y131" s="824">
        <v>0.3</v>
      </c>
      <c r="Z131" s="821">
        <f t="shared" ref="Z131:Z140" si="189">R131*Y131</f>
        <v>1737.45</v>
      </c>
      <c r="AA131" s="821"/>
      <c r="AB131" s="821">
        <f>(R131+Z131)*S131</f>
        <v>7528.95</v>
      </c>
      <c r="AC131" s="825">
        <f t="shared" ref="AC131:AC140" si="190">AF131</f>
        <v>5971.05</v>
      </c>
      <c r="AD131" s="825">
        <f t="shared" ref="AD131:AD140" si="191">AB131+AC131</f>
        <v>13500</v>
      </c>
      <c r="AE131" s="826">
        <f t="shared" ref="AE131:AE140" si="192">13500*S131</f>
        <v>13500</v>
      </c>
      <c r="AF131" s="826">
        <f t="shared" ref="AF131:AF140" si="193">AE131-AB131</f>
        <v>5971.05</v>
      </c>
      <c r="AG131" s="827">
        <f t="shared" ref="AG131:AG140" si="194">6700*S131</f>
        <v>6700</v>
      </c>
      <c r="AH131" s="826"/>
      <c r="AI131" s="828">
        <f t="shared" ref="AI131:AI140" si="195">G131*S131</f>
        <v>5265</v>
      </c>
      <c r="AJ131" s="828">
        <f t="shared" ref="AJ131:AJ140" si="196">G131*T131</f>
        <v>0</v>
      </c>
      <c r="AK131" s="828">
        <f t="shared" ref="AK131:AK140" si="197">R131*S131</f>
        <v>5791.5</v>
      </c>
      <c r="AL131" s="828">
        <f t="shared" ref="AL131:AL140" si="198">R131*T131</f>
        <v>0</v>
      </c>
      <c r="AM131" s="828">
        <f t="shared" ref="AM131:AM140" si="199">AK131-AI131</f>
        <v>526.5</v>
      </c>
      <c r="AN131" s="828">
        <f t="shared" ref="AN131:AN140" si="200">AL131-AJ131</f>
        <v>0</v>
      </c>
      <c r="AO131" s="830">
        <f t="shared" ref="AO131:AO140" si="201">Z131*S131</f>
        <v>1737.45</v>
      </c>
      <c r="AP131" s="830">
        <f t="shared" ref="AP131:AP140" si="202">Z131*T131</f>
        <v>0</v>
      </c>
      <c r="AQ131" s="830">
        <f t="shared" ref="AQ131:AQ140" si="203">AA131</f>
        <v>0</v>
      </c>
      <c r="AR131" s="830">
        <f t="shared" ref="AR131:AR140" si="204">W131*S131</f>
        <v>0</v>
      </c>
      <c r="AS131" s="830">
        <f t="shared" ref="AS131:AS140" si="205">W131*T131</f>
        <v>0</v>
      </c>
      <c r="AT131" s="835">
        <f t="shared" si="120"/>
        <v>5791.5</v>
      </c>
      <c r="AU131" s="835">
        <f t="shared" si="121"/>
        <v>0</v>
      </c>
      <c r="AV131" s="828"/>
      <c r="AW131" s="944">
        <f t="shared" ref="AW131:AW140" si="206">AT131+AU131-AV131</f>
        <v>5791.5</v>
      </c>
      <c r="AX131" s="198"/>
    </row>
    <row r="132" spans="2:55" s="196" customFormat="1" ht="58.5">
      <c r="B132" s="770"/>
      <c r="C132" s="819" t="s">
        <v>1310</v>
      </c>
      <c r="D132" s="820" t="s">
        <v>1326</v>
      </c>
      <c r="E132" s="770" t="s">
        <v>1327</v>
      </c>
      <c r="F132" s="770">
        <v>10</v>
      </c>
      <c r="G132" s="821">
        <v>5265</v>
      </c>
      <c r="H132" s="821"/>
      <c r="I132" s="821"/>
      <c r="J132" s="824"/>
      <c r="K132" s="824"/>
      <c r="L132" s="824"/>
      <c r="M132" s="821"/>
      <c r="N132" s="821"/>
      <c r="O132" s="821"/>
      <c r="P132" s="831"/>
      <c r="Q132" s="831"/>
      <c r="R132" s="821">
        <f t="shared" si="188"/>
        <v>5265</v>
      </c>
      <c r="S132" s="821">
        <v>1</v>
      </c>
      <c r="T132" s="821"/>
      <c r="U132" s="831"/>
      <c r="V132" s="831"/>
      <c r="W132" s="831"/>
      <c r="X132" s="770">
        <v>40</v>
      </c>
      <c r="Y132" s="824">
        <v>0.3</v>
      </c>
      <c r="Z132" s="821">
        <f t="shared" si="189"/>
        <v>1579.5</v>
      </c>
      <c r="AA132" s="821"/>
      <c r="AB132" s="821">
        <f>(R132+Z132)*S132</f>
        <v>6844.5</v>
      </c>
      <c r="AC132" s="825">
        <f t="shared" si="190"/>
        <v>6655.5</v>
      </c>
      <c r="AD132" s="825">
        <f t="shared" si="191"/>
        <v>13500</v>
      </c>
      <c r="AE132" s="826">
        <f t="shared" si="192"/>
        <v>13500</v>
      </c>
      <c r="AF132" s="826">
        <f t="shared" si="193"/>
        <v>6655.5</v>
      </c>
      <c r="AG132" s="827">
        <f t="shared" si="194"/>
        <v>6700</v>
      </c>
      <c r="AH132" s="826"/>
      <c r="AI132" s="828">
        <f t="shared" si="195"/>
        <v>5265</v>
      </c>
      <c r="AJ132" s="828">
        <f t="shared" si="196"/>
        <v>0</v>
      </c>
      <c r="AK132" s="828">
        <f t="shared" si="197"/>
        <v>5265</v>
      </c>
      <c r="AL132" s="828">
        <f t="shared" si="198"/>
        <v>0</v>
      </c>
      <c r="AM132" s="828">
        <f t="shared" si="199"/>
        <v>0</v>
      </c>
      <c r="AN132" s="828">
        <f t="shared" si="200"/>
        <v>0</v>
      </c>
      <c r="AO132" s="830">
        <f t="shared" si="201"/>
        <v>1579.5</v>
      </c>
      <c r="AP132" s="830">
        <f t="shared" si="202"/>
        <v>0</v>
      </c>
      <c r="AQ132" s="830">
        <f t="shared" si="203"/>
        <v>0</v>
      </c>
      <c r="AR132" s="830">
        <f t="shared" si="204"/>
        <v>0</v>
      </c>
      <c r="AS132" s="830">
        <f t="shared" si="205"/>
        <v>0</v>
      </c>
      <c r="AT132" s="835">
        <f t="shared" si="120"/>
        <v>5265</v>
      </c>
      <c r="AU132" s="835">
        <f t="shared" si="121"/>
        <v>0</v>
      </c>
      <c r="AV132" s="828"/>
      <c r="AW132" s="944">
        <f t="shared" si="206"/>
        <v>5265</v>
      </c>
      <c r="AX132" s="198"/>
    </row>
    <row r="133" spans="2:55" s="196" customFormat="1" ht="58.5">
      <c r="B133" s="770"/>
      <c r="C133" s="819" t="s">
        <v>1310</v>
      </c>
      <c r="D133" s="820" t="s">
        <v>1328</v>
      </c>
      <c r="E133" s="770" t="s">
        <v>1329</v>
      </c>
      <c r="F133" s="770">
        <v>10</v>
      </c>
      <c r="G133" s="821">
        <v>5265</v>
      </c>
      <c r="H133" s="821"/>
      <c r="I133" s="821"/>
      <c r="J133" s="821"/>
      <c r="K133" s="821"/>
      <c r="L133" s="821"/>
      <c r="M133" s="821"/>
      <c r="N133" s="821"/>
      <c r="O133" s="821"/>
      <c r="P133" s="821"/>
      <c r="Q133" s="821"/>
      <c r="R133" s="821">
        <f t="shared" si="188"/>
        <v>5265</v>
      </c>
      <c r="S133" s="821">
        <v>1</v>
      </c>
      <c r="T133" s="821"/>
      <c r="U133" s="821"/>
      <c r="V133" s="821"/>
      <c r="W133" s="821"/>
      <c r="X133" s="770">
        <v>30</v>
      </c>
      <c r="Y133" s="824">
        <v>0.3</v>
      </c>
      <c r="Z133" s="821">
        <f t="shared" si="189"/>
        <v>1579.5</v>
      </c>
      <c r="AA133" s="821"/>
      <c r="AB133" s="821">
        <f>(R133+Z133)*S133</f>
        <v>6844.5</v>
      </c>
      <c r="AC133" s="825">
        <f t="shared" si="190"/>
        <v>6655.5</v>
      </c>
      <c r="AD133" s="825">
        <f t="shared" si="191"/>
        <v>13500</v>
      </c>
      <c r="AE133" s="826">
        <f t="shared" si="192"/>
        <v>13500</v>
      </c>
      <c r="AF133" s="826">
        <f t="shared" si="193"/>
        <v>6655.5</v>
      </c>
      <c r="AG133" s="827">
        <f t="shared" si="194"/>
        <v>6700</v>
      </c>
      <c r="AH133" s="826"/>
      <c r="AI133" s="828">
        <f t="shared" si="195"/>
        <v>5265</v>
      </c>
      <c r="AJ133" s="828">
        <f t="shared" si="196"/>
        <v>0</v>
      </c>
      <c r="AK133" s="828">
        <f t="shared" si="197"/>
        <v>5265</v>
      </c>
      <c r="AL133" s="828">
        <f t="shared" si="198"/>
        <v>0</v>
      </c>
      <c r="AM133" s="828">
        <f t="shared" si="199"/>
        <v>0</v>
      </c>
      <c r="AN133" s="828">
        <f t="shared" si="200"/>
        <v>0</v>
      </c>
      <c r="AO133" s="830">
        <f t="shared" si="201"/>
        <v>1579.5</v>
      </c>
      <c r="AP133" s="830">
        <f t="shared" si="202"/>
        <v>0</v>
      </c>
      <c r="AQ133" s="830">
        <f t="shared" si="203"/>
        <v>0</v>
      </c>
      <c r="AR133" s="830">
        <f t="shared" si="204"/>
        <v>0</v>
      </c>
      <c r="AS133" s="830">
        <f t="shared" si="205"/>
        <v>0</v>
      </c>
      <c r="AT133" s="835">
        <f t="shared" si="120"/>
        <v>5265</v>
      </c>
      <c r="AU133" s="835">
        <f t="shared" si="121"/>
        <v>0</v>
      </c>
      <c r="AV133" s="828"/>
      <c r="AW133" s="944">
        <f t="shared" si="206"/>
        <v>5265</v>
      </c>
    </row>
    <row r="134" spans="2:55" s="196" customFormat="1" ht="58.5">
      <c r="B134" s="770"/>
      <c r="C134" s="819" t="s">
        <v>1310</v>
      </c>
      <c r="D134" s="820" t="s">
        <v>1334</v>
      </c>
      <c r="E134" s="770" t="s">
        <v>1335</v>
      </c>
      <c r="F134" s="770">
        <v>7</v>
      </c>
      <c r="G134" s="821">
        <v>4455</v>
      </c>
      <c r="H134" s="821"/>
      <c r="I134" s="821"/>
      <c r="J134" s="821"/>
      <c r="K134" s="821"/>
      <c r="L134" s="821"/>
      <c r="M134" s="821"/>
      <c r="N134" s="821"/>
      <c r="O134" s="821"/>
      <c r="P134" s="821"/>
      <c r="Q134" s="831"/>
      <c r="R134" s="821">
        <f t="shared" si="188"/>
        <v>4455</v>
      </c>
      <c r="S134" s="821">
        <v>1</v>
      </c>
      <c r="T134" s="821"/>
      <c r="U134" s="831"/>
      <c r="V134" s="831"/>
      <c r="W134" s="831"/>
      <c r="X134" s="770">
        <v>15</v>
      </c>
      <c r="Y134" s="824">
        <v>0.2</v>
      </c>
      <c r="Z134" s="821">
        <f t="shared" si="189"/>
        <v>891</v>
      </c>
      <c r="AA134" s="821">
        <f>AH134</f>
        <v>1354</v>
      </c>
      <c r="AB134" s="821">
        <f>(R134+Z134)*S134+AA134</f>
        <v>6700</v>
      </c>
      <c r="AC134" s="825">
        <f t="shared" si="190"/>
        <v>6800</v>
      </c>
      <c r="AD134" s="825">
        <f t="shared" si="191"/>
        <v>13500</v>
      </c>
      <c r="AE134" s="826">
        <f t="shared" si="192"/>
        <v>13500</v>
      </c>
      <c r="AF134" s="826">
        <f t="shared" si="193"/>
        <v>6800</v>
      </c>
      <c r="AG134" s="827">
        <f t="shared" si="194"/>
        <v>6700</v>
      </c>
      <c r="AH134" s="826">
        <f>AG134-(R134*S134)-Z134</f>
        <v>1354</v>
      </c>
      <c r="AI134" s="828">
        <f t="shared" si="195"/>
        <v>4455</v>
      </c>
      <c r="AJ134" s="828">
        <f t="shared" si="196"/>
        <v>0</v>
      </c>
      <c r="AK134" s="828">
        <f t="shared" si="197"/>
        <v>4455</v>
      </c>
      <c r="AL134" s="828">
        <f t="shared" si="198"/>
        <v>0</v>
      </c>
      <c r="AM134" s="828">
        <f t="shared" si="199"/>
        <v>0</v>
      </c>
      <c r="AN134" s="828">
        <f t="shared" si="200"/>
        <v>0</v>
      </c>
      <c r="AO134" s="830">
        <f t="shared" si="201"/>
        <v>891</v>
      </c>
      <c r="AP134" s="830">
        <f t="shared" si="202"/>
        <v>0</v>
      </c>
      <c r="AQ134" s="830">
        <f t="shared" si="203"/>
        <v>1354</v>
      </c>
      <c r="AR134" s="830">
        <f t="shared" si="204"/>
        <v>0</v>
      </c>
      <c r="AS134" s="830">
        <f t="shared" si="205"/>
        <v>0</v>
      </c>
      <c r="AT134" s="835">
        <f t="shared" si="120"/>
        <v>4455</v>
      </c>
      <c r="AU134" s="835">
        <f t="shared" si="121"/>
        <v>0</v>
      </c>
      <c r="AV134" s="828"/>
      <c r="AW134" s="944">
        <f t="shared" si="206"/>
        <v>4455</v>
      </c>
    </row>
    <row r="135" spans="2:55" s="196" customFormat="1" ht="58.5">
      <c r="B135" s="770"/>
      <c r="C135" s="819" t="s">
        <v>1310</v>
      </c>
      <c r="D135" s="820" t="s">
        <v>1332</v>
      </c>
      <c r="E135" s="770" t="s">
        <v>1333</v>
      </c>
      <c r="F135" s="770">
        <v>10</v>
      </c>
      <c r="G135" s="821">
        <v>5265</v>
      </c>
      <c r="H135" s="821"/>
      <c r="I135" s="821"/>
      <c r="J135" s="821"/>
      <c r="K135" s="821"/>
      <c r="L135" s="821"/>
      <c r="M135" s="821"/>
      <c r="N135" s="821"/>
      <c r="O135" s="821"/>
      <c r="P135" s="821"/>
      <c r="Q135" s="821"/>
      <c r="R135" s="821">
        <f t="shared" si="188"/>
        <v>5265</v>
      </c>
      <c r="S135" s="821">
        <v>1</v>
      </c>
      <c r="T135" s="821"/>
      <c r="U135" s="821"/>
      <c r="V135" s="821"/>
      <c r="W135" s="821"/>
      <c r="X135" s="770">
        <v>27</v>
      </c>
      <c r="Y135" s="824">
        <v>0.3</v>
      </c>
      <c r="Z135" s="821">
        <f t="shared" si="189"/>
        <v>1579.5</v>
      </c>
      <c r="AA135" s="821"/>
      <c r="AB135" s="821">
        <f>(R135+Z135)*S135</f>
        <v>6844.5</v>
      </c>
      <c r="AC135" s="825">
        <f t="shared" si="190"/>
        <v>6655.5</v>
      </c>
      <c r="AD135" s="825">
        <f t="shared" si="191"/>
        <v>13500</v>
      </c>
      <c r="AE135" s="826">
        <f t="shared" si="192"/>
        <v>13500</v>
      </c>
      <c r="AF135" s="826">
        <f t="shared" si="193"/>
        <v>6655.5</v>
      </c>
      <c r="AG135" s="827">
        <f t="shared" si="194"/>
        <v>6700</v>
      </c>
      <c r="AH135" s="826"/>
      <c r="AI135" s="828">
        <f t="shared" si="195"/>
        <v>5265</v>
      </c>
      <c r="AJ135" s="828">
        <f t="shared" si="196"/>
        <v>0</v>
      </c>
      <c r="AK135" s="828">
        <f t="shared" si="197"/>
        <v>5265</v>
      </c>
      <c r="AL135" s="828">
        <f t="shared" si="198"/>
        <v>0</v>
      </c>
      <c r="AM135" s="828">
        <f t="shared" si="199"/>
        <v>0</v>
      </c>
      <c r="AN135" s="828">
        <f t="shared" si="200"/>
        <v>0</v>
      </c>
      <c r="AO135" s="830">
        <f t="shared" si="201"/>
        <v>1579.5</v>
      </c>
      <c r="AP135" s="830">
        <f t="shared" si="202"/>
        <v>0</v>
      </c>
      <c r="AQ135" s="830">
        <f t="shared" si="203"/>
        <v>0</v>
      </c>
      <c r="AR135" s="830">
        <f t="shared" si="204"/>
        <v>0</v>
      </c>
      <c r="AS135" s="830">
        <f t="shared" si="205"/>
        <v>0</v>
      </c>
      <c r="AT135" s="835">
        <f t="shared" si="120"/>
        <v>5265</v>
      </c>
      <c r="AU135" s="835">
        <f t="shared" si="121"/>
        <v>0</v>
      </c>
      <c r="AV135" s="828"/>
      <c r="AW135" s="944">
        <f t="shared" si="206"/>
        <v>5265</v>
      </c>
    </row>
    <row r="136" spans="2:55" s="196" customFormat="1" ht="58.5">
      <c r="B136" s="770"/>
      <c r="C136" s="819" t="s">
        <v>1310</v>
      </c>
      <c r="D136" s="820" t="s">
        <v>1330</v>
      </c>
      <c r="E136" s="770" t="s">
        <v>1331</v>
      </c>
      <c r="F136" s="770">
        <v>10</v>
      </c>
      <c r="G136" s="821">
        <v>5265</v>
      </c>
      <c r="H136" s="821"/>
      <c r="I136" s="821"/>
      <c r="J136" s="821"/>
      <c r="K136" s="821"/>
      <c r="L136" s="821"/>
      <c r="M136" s="821"/>
      <c r="N136" s="821"/>
      <c r="O136" s="821"/>
      <c r="P136" s="821"/>
      <c r="Q136" s="821"/>
      <c r="R136" s="821">
        <f t="shared" si="188"/>
        <v>5265</v>
      </c>
      <c r="S136" s="821">
        <v>1</v>
      </c>
      <c r="T136" s="821"/>
      <c r="U136" s="821"/>
      <c r="V136" s="821"/>
      <c r="W136" s="821"/>
      <c r="X136" s="770">
        <v>25</v>
      </c>
      <c r="Y136" s="824">
        <v>0.3</v>
      </c>
      <c r="Z136" s="821">
        <f t="shared" si="189"/>
        <v>1579.5</v>
      </c>
      <c r="AA136" s="821"/>
      <c r="AB136" s="821">
        <f>(R136+Z136)*S136</f>
        <v>6844.5</v>
      </c>
      <c r="AC136" s="825">
        <f t="shared" si="190"/>
        <v>6655.5</v>
      </c>
      <c r="AD136" s="825">
        <f>AB136+AC136</f>
        <v>13500</v>
      </c>
      <c r="AE136" s="826">
        <f t="shared" si="192"/>
        <v>13500</v>
      </c>
      <c r="AF136" s="826">
        <f t="shared" si="193"/>
        <v>6655.5</v>
      </c>
      <c r="AG136" s="827">
        <f t="shared" si="194"/>
        <v>6700</v>
      </c>
      <c r="AH136" s="826"/>
      <c r="AI136" s="828">
        <f t="shared" si="195"/>
        <v>5265</v>
      </c>
      <c r="AJ136" s="828">
        <f t="shared" si="196"/>
        <v>0</v>
      </c>
      <c r="AK136" s="828">
        <f t="shared" si="197"/>
        <v>5265</v>
      </c>
      <c r="AL136" s="828">
        <f t="shared" si="198"/>
        <v>0</v>
      </c>
      <c r="AM136" s="828">
        <f t="shared" si="199"/>
        <v>0</v>
      </c>
      <c r="AN136" s="828">
        <f t="shared" si="200"/>
        <v>0</v>
      </c>
      <c r="AO136" s="830">
        <f t="shared" si="201"/>
        <v>1579.5</v>
      </c>
      <c r="AP136" s="830">
        <f t="shared" si="202"/>
        <v>0</v>
      </c>
      <c r="AQ136" s="830">
        <f t="shared" si="203"/>
        <v>0</v>
      </c>
      <c r="AR136" s="830">
        <f t="shared" si="204"/>
        <v>0</v>
      </c>
      <c r="AS136" s="830">
        <f t="shared" si="205"/>
        <v>0</v>
      </c>
      <c r="AT136" s="835">
        <f t="shared" si="120"/>
        <v>5265</v>
      </c>
      <c r="AU136" s="835">
        <f t="shared" si="121"/>
        <v>0</v>
      </c>
      <c r="AV136" s="828"/>
      <c r="AW136" s="944">
        <f t="shared" si="206"/>
        <v>5265</v>
      </c>
    </row>
    <row r="137" spans="2:55" s="196" customFormat="1" ht="58.5">
      <c r="B137" s="770"/>
      <c r="C137" s="819" t="s">
        <v>1306</v>
      </c>
      <c r="D137" s="820" t="s">
        <v>1336</v>
      </c>
      <c r="E137" s="770" t="s">
        <v>1337</v>
      </c>
      <c r="F137" s="770">
        <v>9</v>
      </c>
      <c r="G137" s="821">
        <v>5005</v>
      </c>
      <c r="H137" s="821"/>
      <c r="I137" s="821"/>
      <c r="J137" s="821"/>
      <c r="K137" s="821"/>
      <c r="L137" s="821"/>
      <c r="M137" s="821"/>
      <c r="N137" s="821"/>
      <c r="O137" s="821"/>
      <c r="P137" s="821"/>
      <c r="Q137" s="821"/>
      <c r="R137" s="821">
        <f t="shared" si="188"/>
        <v>5005</v>
      </c>
      <c r="S137" s="821">
        <v>1</v>
      </c>
      <c r="T137" s="821"/>
      <c r="U137" s="821"/>
      <c r="V137" s="821"/>
      <c r="W137" s="821"/>
      <c r="X137" s="770">
        <v>35</v>
      </c>
      <c r="Y137" s="824">
        <v>0.3</v>
      </c>
      <c r="Z137" s="821">
        <f t="shared" si="189"/>
        <v>1501.5</v>
      </c>
      <c r="AA137" s="821"/>
      <c r="AB137" s="821">
        <f>(R137+Z137)*S137</f>
        <v>6506.5</v>
      </c>
      <c r="AC137" s="825">
        <f t="shared" si="190"/>
        <v>6993.5</v>
      </c>
      <c r="AD137" s="825">
        <f>AB137+AC137</f>
        <v>13500</v>
      </c>
      <c r="AE137" s="826">
        <f t="shared" si="192"/>
        <v>13500</v>
      </c>
      <c r="AF137" s="826">
        <f t="shared" si="193"/>
        <v>6993.5</v>
      </c>
      <c r="AG137" s="827">
        <f t="shared" si="194"/>
        <v>6700</v>
      </c>
      <c r="AH137" s="826"/>
      <c r="AI137" s="828">
        <f t="shared" si="195"/>
        <v>5005</v>
      </c>
      <c r="AJ137" s="828">
        <f t="shared" si="196"/>
        <v>0</v>
      </c>
      <c r="AK137" s="828">
        <f t="shared" si="197"/>
        <v>5005</v>
      </c>
      <c r="AL137" s="828">
        <f t="shared" si="198"/>
        <v>0</v>
      </c>
      <c r="AM137" s="828">
        <f t="shared" si="199"/>
        <v>0</v>
      </c>
      <c r="AN137" s="828">
        <f t="shared" si="200"/>
        <v>0</v>
      </c>
      <c r="AO137" s="830">
        <f t="shared" si="201"/>
        <v>1501.5</v>
      </c>
      <c r="AP137" s="830">
        <f t="shared" si="202"/>
        <v>0</v>
      </c>
      <c r="AQ137" s="830">
        <f t="shared" si="203"/>
        <v>0</v>
      </c>
      <c r="AR137" s="830">
        <f t="shared" si="204"/>
        <v>0</v>
      </c>
      <c r="AS137" s="830">
        <f t="shared" si="205"/>
        <v>0</v>
      </c>
      <c r="AT137" s="835">
        <f t="shared" si="120"/>
        <v>5005</v>
      </c>
      <c r="AU137" s="835">
        <f t="shared" si="121"/>
        <v>0</v>
      </c>
      <c r="AV137" s="828"/>
      <c r="AW137" s="944">
        <f t="shared" si="206"/>
        <v>5005</v>
      </c>
      <c r="AX137" s="198"/>
    </row>
    <row r="138" spans="2:55" s="196" customFormat="1" ht="58.5">
      <c r="B138" s="770"/>
      <c r="C138" s="819" t="s">
        <v>1306</v>
      </c>
      <c r="D138" s="838" t="s">
        <v>1670</v>
      </c>
      <c r="E138" s="831" t="s">
        <v>1671</v>
      </c>
      <c r="F138" s="831">
        <v>10</v>
      </c>
      <c r="G138" s="821">
        <v>5265</v>
      </c>
      <c r="H138" s="821"/>
      <c r="I138" s="821"/>
      <c r="J138" s="821"/>
      <c r="K138" s="821"/>
      <c r="L138" s="821"/>
      <c r="M138" s="821"/>
      <c r="N138" s="821"/>
      <c r="O138" s="821"/>
      <c r="P138" s="821"/>
      <c r="Q138" s="821"/>
      <c r="R138" s="821">
        <f t="shared" si="188"/>
        <v>5265</v>
      </c>
      <c r="S138" s="821">
        <v>1</v>
      </c>
      <c r="T138" s="821"/>
      <c r="U138" s="821"/>
      <c r="V138" s="821"/>
      <c r="W138" s="821"/>
      <c r="X138" s="770">
        <v>21</v>
      </c>
      <c r="Y138" s="824">
        <v>0.3</v>
      </c>
      <c r="Z138" s="821">
        <f t="shared" si="189"/>
        <v>1579.5</v>
      </c>
      <c r="AA138" s="821"/>
      <c r="AB138" s="821">
        <f>(R138+Z138)*S138+AA138</f>
        <v>6844.5</v>
      </c>
      <c r="AC138" s="825">
        <f t="shared" si="190"/>
        <v>6655.5</v>
      </c>
      <c r="AD138" s="825">
        <f t="shared" si="191"/>
        <v>13500</v>
      </c>
      <c r="AE138" s="826">
        <f t="shared" si="192"/>
        <v>13500</v>
      </c>
      <c r="AF138" s="826">
        <f t="shared" si="193"/>
        <v>6655.5</v>
      </c>
      <c r="AG138" s="827">
        <f t="shared" si="194"/>
        <v>6700</v>
      </c>
      <c r="AH138" s="826"/>
      <c r="AI138" s="828">
        <f t="shared" si="195"/>
        <v>5265</v>
      </c>
      <c r="AJ138" s="828">
        <f t="shared" si="196"/>
        <v>0</v>
      </c>
      <c r="AK138" s="828">
        <f t="shared" si="197"/>
        <v>5265</v>
      </c>
      <c r="AL138" s="828">
        <f t="shared" si="198"/>
        <v>0</v>
      </c>
      <c r="AM138" s="828">
        <f t="shared" si="199"/>
        <v>0</v>
      </c>
      <c r="AN138" s="828">
        <f t="shared" si="200"/>
        <v>0</v>
      </c>
      <c r="AO138" s="830">
        <f t="shared" si="201"/>
        <v>1579.5</v>
      </c>
      <c r="AP138" s="830">
        <f t="shared" si="202"/>
        <v>0</v>
      </c>
      <c r="AQ138" s="830">
        <f t="shared" si="203"/>
        <v>0</v>
      </c>
      <c r="AR138" s="830">
        <f t="shared" si="204"/>
        <v>0</v>
      </c>
      <c r="AS138" s="830">
        <f t="shared" si="205"/>
        <v>0</v>
      </c>
      <c r="AT138" s="835">
        <f t="shared" si="120"/>
        <v>5265</v>
      </c>
      <c r="AU138" s="835">
        <f t="shared" si="121"/>
        <v>0</v>
      </c>
      <c r="AV138" s="828"/>
      <c r="AW138" s="944">
        <f t="shared" si="206"/>
        <v>5265</v>
      </c>
      <c r="AX138" s="198"/>
    </row>
    <row r="139" spans="2:55" s="196" customFormat="1" ht="58.5">
      <c r="B139" s="770"/>
      <c r="C139" s="819" t="s">
        <v>1306</v>
      </c>
      <c r="D139" s="820" t="s">
        <v>1340</v>
      </c>
      <c r="E139" s="770" t="s">
        <v>1341</v>
      </c>
      <c r="F139" s="770">
        <v>10</v>
      </c>
      <c r="G139" s="821">
        <v>5265</v>
      </c>
      <c r="H139" s="821"/>
      <c r="I139" s="821"/>
      <c r="J139" s="821"/>
      <c r="K139" s="821"/>
      <c r="L139" s="821"/>
      <c r="M139" s="821"/>
      <c r="N139" s="821"/>
      <c r="O139" s="821"/>
      <c r="P139" s="821"/>
      <c r="Q139" s="821"/>
      <c r="R139" s="821">
        <f t="shared" si="188"/>
        <v>5265</v>
      </c>
      <c r="S139" s="821">
        <v>1</v>
      </c>
      <c r="T139" s="821"/>
      <c r="U139" s="821"/>
      <c r="V139" s="821"/>
      <c r="W139" s="821"/>
      <c r="X139" s="770">
        <v>32</v>
      </c>
      <c r="Y139" s="824">
        <v>0.3</v>
      </c>
      <c r="Z139" s="821">
        <f t="shared" si="189"/>
        <v>1579.5</v>
      </c>
      <c r="AA139" s="821"/>
      <c r="AB139" s="821">
        <f>(R139+Z139)*S139</f>
        <v>6844.5</v>
      </c>
      <c r="AC139" s="825">
        <f t="shared" si="190"/>
        <v>6655.5</v>
      </c>
      <c r="AD139" s="825">
        <f t="shared" si="191"/>
        <v>13500</v>
      </c>
      <c r="AE139" s="826">
        <f t="shared" si="192"/>
        <v>13500</v>
      </c>
      <c r="AF139" s="826">
        <f t="shared" si="193"/>
        <v>6655.5</v>
      </c>
      <c r="AG139" s="827">
        <f t="shared" si="194"/>
        <v>6700</v>
      </c>
      <c r="AH139" s="826"/>
      <c r="AI139" s="828">
        <f t="shared" si="195"/>
        <v>5265</v>
      </c>
      <c r="AJ139" s="828">
        <f t="shared" si="196"/>
        <v>0</v>
      </c>
      <c r="AK139" s="828">
        <f t="shared" si="197"/>
        <v>5265</v>
      </c>
      <c r="AL139" s="828">
        <f t="shared" si="198"/>
        <v>0</v>
      </c>
      <c r="AM139" s="828">
        <f t="shared" si="199"/>
        <v>0</v>
      </c>
      <c r="AN139" s="828">
        <f t="shared" si="200"/>
        <v>0</v>
      </c>
      <c r="AO139" s="830">
        <f t="shared" si="201"/>
        <v>1579.5</v>
      </c>
      <c r="AP139" s="830">
        <f t="shared" si="202"/>
        <v>0</v>
      </c>
      <c r="AQ139" s="830">
        <f t="shared" si="203"/>
        <v>0</v>
      </c>
      <c r="AR139" s="830">
        <f t="shared" si="204"/>
        <v>0</v>
      </c>
      <c r="AS139" s="830">
        <f t="shared" si="205"/>
        <v>0</v>
      </c>
      <c r="AT139" s="835">
        <f t="shared" si="120"/>
        <v>5265</v>
      </c>
      <c r="AU139" s="835">
        <f t="shared" si="121"/>
        <v>0</v>
      </c>
      <c r="AV139" s="828"/>
      <c r="AW139" s="944">
        <f t="shared" si="206"/>
        <v>5265</v>
      </c>
    </row>
    <row r="140" spans="2:55" s="196" customFormat="1" ht="58.5">
      <c r="B140" s="770"/>
      <c r="C140" s="819" t="s">
        <v>1306</v>
      </c>
      <c r="D140" s="820" t="s">
        <v>1342</v>
      </c>
      <c r="E140" s="770" t="s">
        <v>1343</v>
      </c>
      <c r="F140" s="770">
        <v>10</v>
      </c>
      <c r="G140" s="821">
        <v>5265</v>
      </c>
      <c r="H140" s="821"/>
      <c r="I140" s="821"/>
      <c r="J140" s="821"/>
      <c r="K140" s="821"/>
      <c r="L140" s="821"/>
      <c r="M140" s="821"/>
      <c r="N140" s="821"/>
      <c r="O140" s="821"/>
      <c r="P140" s="821"/>
      <c r="Q140" s="821"/>
      <c r="R140" s="821">
        <f t="shared" si="188"/>
        <v>5265</v>
      </c>
      <c r="S140" s="821">
        <v>1</v>
      </c>
      <c r="T140" s="821"/>
      <c r="U140" s="821"/>
      <c r="V140" s="821"/>
      <c r="W140" s="821"/>
      <c r="X140" s="770">
        <v>28</v>
      </c>
      <c r="Y140" s="824">
        <v>0.3</v>
      </c>
      <c r="Z140" s="821">
        <f t="shared" si="189"/>
        <v>1579.5</v>
      </c>
      <c r="AA140" s="821"/>
      <c r="AB140" s="821">
        <f>(R140+Z140)*S140</f>
        <v>6844.5</v>
      </c>
      <c r="AC140" s="825">
        <f t="shared" si="190"/>
        <v>6655.5</v>
      </c>
      <c r="AD140" s="825">
        <f t="shared" si="191"/>
        <v>13500</v>
      </c>
      <c r="AE140" s="826">
        <f t="shared" si="192"/>
        <v>13500</v>
      </c>
      <c r="AF140" s="826">
        <f t="shared" si="193"/>
        <v>6655.5</v>
      </c>
      <c r="AG140" s="827">
        <f t="shared" si="194"/>
        <v>6700</v>
      </c>
      <c r="AH140" s="826"/>
      <c r="AI140" s="828">
        <f t="shared" si="195"/>
        <v>5265</v>
      </c>
      <c r="AJ140" s="828">
        <f t="shared" si="196"/>
        <v>0</v>
      </c>
      <c r="AK140" s="828">
        <f t="shared" si="197"/>
        <v>5265</v>
      </c>
      <c r="AL140" s="828">
        <f t="shared" si="198"/>
        <v>0</v>
      </c>
      <c r="AM140" s="828">
        <f t="shared" si="199"/>
        <v>0</v>
      </c>
      <c r="AN140" s="828">
        <f t="shared" si="200"/>
        <v>0</v>
      </c>
      <c r="AO140" s="830">
        <f t="shared" si="201"/>
        <v>1579.5</v>
      </c>
      <c r="AP140" s="830">
        <f t="shared" si="202"/>
        <v>0</v>
      </c>
      <c r="AQ140" s="830">
        <f t="shared" si="203"/>
        <v>0</v>
      </c>
      <c r="AR140" s="830">
        <f t="shared" si="204"/>
        <v>0</v>
      </c>
      <c r="AS140" s="830">
        <f t="shared" si="205"/>
        <v>0</v>
      </c>
      <c r="AT140" s="835">
        <f t="shared" si="120"/>
        <v>5265</v>
      </c>
      <c r="AU140" s="835">
        <f t="shared" si="121"/>
        <v>0</v>
      </c>
      <c r="AV140" s="828"/>
      <c r="AW140" s="944">
        <f t="shared" si="206"/>
        <v>5265</v>
      </c>
    </row>
    <row r="141" spans="2:55" s="196" customFormat="1" ht="31.5">
      <c r="B141" s="770"/>
      <c r="C141" s="799" t="s">
        <v>504</v>
      </c>
      <c r="D141" s="832"/>
      <c r="E141" s="812"/>
      <c r="F141" s="812"/>
      <c r="G141" s="802">
        <f>SUM(G131:G140)</f>
        <v>51580</v>
      </c>
      <c r="H141" s="875"/>
      <c r="I141" s="802">
        <f>SUM(I131:I140)</f>
        <v>526.5</v>
      </c>
      <c r="J141" s="813"/>
      <c r="K141" s="812"/>
      <c r="L141" s="812"/>
      <c r="M141" s="813"/>
      <c r="N141" s="812"/>
      <c r="O141" s="813"/>
      <c r="P141" s="803"/>
      <c r="Q141" s="812"/>
      <c r="R141" s="802">
        <f>SUM(R131:R140)</f>
        <v>52106.5</v>
      </c>
      <c r="S141" s="802">
        <f>SUM(S131:S140)</f>
        <v>10</v>
      </c>
      <c r="T141" s="802">
        <f>SUM(T131:T140)</f>
        <v>0</v>
      </c>
      <c r="U141" s="802"/>
      <c r="V141" s="802"/>
      <c r="W141" s="802"/>
      <c r="X141" s="802"/>
      <c r="Y141" s="802"/>
      <c r="Z141" s="802">
        <f t="shared" ref="Z141:AW141" si="207">SUM(Z131:Z140)</f>
        <v>15186.45</v>
      </c>
      <c r="AA141" s="802">
        <f t="shared" si="207"/>
        <v>1354</v>
      </c>
      <c r="AB141" s="802">
        <f t="shared" si="207"/>
        <v>68646.95</v>
      </c>
      <c r="AC141" s="802">
        <f t="shared" si="207"/>
        <v>66353.05</v>
      </c>
      <c r="AD141" s="802">
        <f t="shared" si="207"/>
        <v>135000</v>
      </c>
      <c r="AE141" s="802">
        <f t="shared" si="207"/>
        <v>135000</v>
      </c>
      <c r="AF141" s="802">
        <f t="shared" si="207"/>
        <v>66353.05</v>
      </c>
      <c r="AG141" s="802">
        <f t="shared" si="207"/>
        <v>67000</v>
      </c>
      <c r="AH141" s="802">
        <f t="shared" si="207"/>
        <v>1354</v>
      </c>
      <c r="AI141" s="802">
        <f t="shared" si="207"/>
        <v>51580</v>
      </c>
      <c r="AJ141" s="802">
        <f t="shared" si="207"/>
        <v>0</v>
      </c>
      <c r="AK141" s="802">
        <f t="shared" si="207"/>
        <v>52106.5</v>
      </c>
      <c r="AL141" s="802">
        <f t="shared" si="207"/>
        <v>0</v>
      </c>
      <c r="AM141" s="802">
        <f t="shared" si="207"/>
        <v>526.5</v>
      </c>
      <c r="AN141" s="802">
        <f t="shared" si="207"/>
        <v>0</v>
      </c>
      <c r="AO141" s="802">
        <f t="shared" si="207"/>
        <v>15186.45</v>
      </c>
      <c r="AP141" s="802">
        <f t="shared" si="207"/>
        <v>0</v>
      </c>
      <c r="AQ141" s="802">
        <f t="shared" si="207"/>
        <v>1354</v>
      </c>
      <c r="AR141" s="802">
        <f t="shared" si="207"/>
        <v>0</v>
      </c>
      <c r="AS141" s="802">
        <f t="shared" si="207"/>
        <v>0</v>
      </c>
      <c r="AT141" s="802">
        <f t="shared" si="207"/>
        <v>52106.5</v>
      </c>
      <c r="AU141" s="802">
        <f t="shared" si="207"/>
        <v>0</v>
      </c>
      <c r="AV141" s="802">
        <f t="shared" si="207"/>
        <v>0</v>
      </c>
      <c r="AW141" s="802">
        <f t="shared" si="207"/>
        <v>52106.5</v>
      </c>
    </row>
    <row r="142" spans="2:55" s="196" customFormat="1" ht="33">
      <c r="B142" s="770"/>
      <c r="C142" s="851" t="s">
        <v>802</v>
      </c>
      <c r="D142" s="832"/>
      <c r="E142" s="812"/>
      <c r="F142" s="812"/>
      <c r="G142" s="802"/>
      <c r="H142" s="875"/>
      <c r="I142" s="802"/>
      <c r="J142" s="813"/>
      <c r="K142" s="812"/>
      <c r="L142" s="812"/>
      <c r="M142" s="813"/>
      <c r="N142" s="812"/>
      <c r="O142" s="813"/>
      <c r="P142" s="803"/>
      <c r="Q142" s="812"/>
      <c r="R142" s="802"/>
      <c r="S142" s="802"/>
      <c r="T142" s="802"/>
      <c r="U142" s="802"/>
      <c r="V142" s="802"/>
      <c r="W142" s="802"/>
      <c r="X142" s="802"/>
      <c r="Y142" s="802"/>
      <c r="Z142" s="802"/>
      <c r="AA142" s="802"/>
      <c r="AB142" s="802"/>
      <c r="AC142" s="876"/>
      <c r="AD142" s="876"/>
      <c r="AE142" s="833"/>
      <c r="AF142" s="833"/>
      <c r="AG142" s="818"/>
      <c r="AH142" s="833"/>
      <c r="AI142" s="828"/>
      <c r="AJ142" s="828"/>
      <c r="AK142" s="828"/>
      <c r="AL142" s="828"/>
      <c r="AM142" s="828"/>
      <c r="AN142" s="828"/>
      <c r="AO142" s="830"/>
      <c r="AP142" s="830"/>
      <c r="AQ142" s="830"/>
      <c r="AR142" s="830"/>
      <c r="AS142" s="830"/>
      <c r="AT142" s="835"/>
      <c r="AU142" s="835"/>
      <c r="AV142" s="828"/>
      <c r="AW142" s="944"/>
    </row>
    <row r="143" spans="2:55" s="196" customFormat="1" ht="63">
      <c r="B143" s="770"/>
      <c r="C143" s="819" t="s">
        <v>1444</v>
      </c>
      <c r="D143" s="820"/>
      <c r="E143" s="770" t="s">
        <v>1445</v>
      </c>
      <c r="F143" s="770">
        <v>3</v>
      </c>
      <c r="G143" s="821">
        <v>3414</v>
      </c>
      <c r="H143" s="821"/>
      <c r="I143" s="821"/>
      <c r="J143" s="831"/>
      <c r="K143" s="831"/>
      <c r="L143" s="831"/>
      <c r="M143" s="831"/>
      <c r="N143" s="831"/>
      <c r="O143" s="831"/>
      <c r="P143" s="831"/>
      <c r="Q143" s="831"/>
      <c r="R143" s="821">
        <f>G143+I143+K143+L143+N143+P143+Q143</f>
        <v>3414</v>
      </c>
      <c r="S143" s="821">
        <v>1</v>
      </c>
      <c r="T143" s="831"/>
      <c r="U143" s="831"/>
      <c r="V143" s="824">
        <v>0.1</v>
      </c>
      <c r="W143" s="821">
        <f>R143*V143</f>
        <v>341.40000000000003</v>
      </c>
      <c r="X143" s="770"/>
      <c r="Y143" s="824"/>
      <c r="Z143" s="821"/>
      <c r="AA143" s="821">
        <f>AH143</f>
        <v>3286</v>
      </c>
      <c r="AB143" s="821">
        <f>(R143+Z143+U143+W143)*S143+AA143</f>
        <v>7041.4</v>
      </c>
      <c r="AC143" s="825">
        <f>AF143</f>
        <v>0</v>
      </c>
      <c r="AD143" s="825">
        <f>AB143+AC143</f>
        <v>7041.4</v>
      </c>
      <c r="AE143" s="826">
        <f>AB143</f>
        <v>7041.4</v>
      </c>
      <c r="AF143" s="826">
        <f>AE143-AB143</f>
        <v>0</v>
      </c>
      <c r="AG143" s="827">
        <f>6700*S143</f>
        <v>6700</v>
      </c>
      <c r="AH143" s="826">
        <f>AG143-(R143*S143)</f>
        <v>3286</v>
      </c>
      <c r="AI143" s="828">
        <f>G143*S143</f>
        <v>3414</v>
      </c>
      <c r="AJ143" s="828">
        <f>G143*T143</f>
        <v>0</v>
      </c>
      <c r="AK143" s="828">
        <f>R143*S143</f>
        <v>3414</v>
      </c>
      <c r="AL143" s="828">
        <f>R143*T143</f>
        <v>0</v>
      </c>
      <c r="AM143" s="828">
        <f t="shared" ref="AM143:AN147" si="208">AK143-AI143</f>
        <v>0</v>
      </c>
      <c r="AN143" s="828">
        <f t="shared" si="208"/>
        <v>0</v>
      </c>
      <c r="AO143" s="830">
        <f>Z143*S143</f>
        <v>0</v>
      </c>
      <c r="AP143" s="830">
        <f>Z143*T143</f>
        <v>0</v>
      </c>
      <c r="AQ143" s="830">
        <f>AA143</f>
        <v>3286</v>
      </c>
      <c r="AR143" s="830">
        <f>W143*S143</f>
        <v>341.40000000000003</v>
      </c>
      <c r="AS143" s="830">
        <f>W143*T143</f>
        <v>0</v>
      </c>
      <c r="AT143" s="835">
        <f t="shared" ref="AT143:AT204" si="209">AK143</f>
        <v>3414</v>
      </c>
      <c r="AU143" s="835">
        <f t="shared" ref="AU143:AU204" si="210">AL143</f>
        <v>0</v>
      </c>
      <c r="AV143" s="828"/>
      <c r="AW143" s="944">
        <f>AT143+AU143-AV143</f>
        <v>3414</v>
      </c>
    </row>
    <row r="144" spans="2:55" s="196" customFormat="1" ht="63">
      <c r="B144" s="770"/>
      <c r="C144" s="819" t="s">
        <v>1444</v>
      </c>
      <c r="D144" s="820"/>
      <c r="E144" s="770" t="s">
        <v>590</v>
      </c>
      <c r="F144" s="770">
        <v>3</v>
      </c>
      <c r="G144" s="821">
        <v>3414</v>
      </c>
      <c r="H144" s="821"/>
      <c r="I144" s="821"/>
      <c r="J144" s="821"/>
      <c r="K144" s="821"/>
      <c r="L144" s="821"/>
      <c r="M144" s="821"/>
      <c r="N144" s="821"/>
      <c r="O144" s="821"/>
      <c r="P144" s="821"/>
      <c r="Q144" s="821"/>
      <c r="R144" s="821">
        <f>G144+I144+K144+L144+N144+P144+Q144</f>
        <v>3414</v>
      </c>
      <c r="S144" s="821">
        <v>1</v>
      </c>
      <c r="T144" s="821"/>
      <c r="U144" s="821"/>
      <c r="V144" s="824">
        <v>0.1</v>
      </c>
      <c r="W144" s="821">
        <f>R144*V144</f>
        <v>341.40000000000003</v>
      </c>
      <c r="X144" s="770"/>
      <c r="Y144" s="824"/>
      <c r="Z144" s="821"/>
      <c r="AA144" s="821">
        <f>AH144</f>
        <v>3286</v>
      </c>
      <c r="AB144" s="821">
        <f>(R144+Z144+U144+W144)*S144+AA144</f>
        <v>7041.4</v>
      </c>
      <c r="AC144" s="825">
        <f>AF144</f>
        <v>0</v>
      </c>
      <c r="AD144" s="825">
        <f>AB144+AC144</f>
        <v>7041.4</v>
      </c>
      <c r="AE144" s="826">
        <f>AB144</f>
        <v>7041.4</v>
      </c>
      <c r="AF144" s="826">
        <f>AE144-AB144</f>
        <v>0</v>
      </c>
      <c r="AG144" s="827">
        <f>6700*S144</f>
        <v>6700</v>
      </c>
      <c r="AH144" s="826">
        <f>AG144-(R144*S144)</f>
        <v>3286</v>
      </c>
      <c r="AI144" s="828">
        <f>G144*S144</f>
        <v>3414</v>
      </c>
      <c r="AJ144" s="828">
        <f>G144*T144</f>
        <v>0</v>
      </c>
      <c r="AK144" s="828">
        <f>R144*S144</f>
        <v>3414</v>
      </c>
      <c r="AL144" s="828">
        <f>R144*T144</f>
        <v>0</v>
      </c>
      <c r="AM144" s="828">
        <f t="shared" si="208"/>
        <v>0</v>
      </c>
      <c r="AN144" s="828">
        <f t="shared" si="208"/>
        <v>0</v>
      </c>
      <c r="AO144" s="830">
        <f>Z144*S144</f>
        <v>0</v>
      </c>
      <c r="AP144" s="830">
        <f>Z144*T144</f>
        <v>0</v>
      </c>
      <c r="AQ144" s="830">
        <f>AA144</f>
        <v>3286</v>
      </c>
      <c r="AR144" s="830">
        <f>W144*S144</f>
        <v>341.40000000000003</v>
      </c>
      <c r="AS144" s="830">
        <f>W144*T144</f>
        <v>0</v>
      </c>
      <c r="AT144" s="835">
        <f t="shared" si="209"/>
        <v>3414</v>
      </c>
      <c r="AU144" s="835">
        <f t="shared" si="210"/>
        <v>0</v>
      </c>
      <c r="AV144" s="828"/>
      <c r="AW144" s="944">
        <f>AT144+AU144-AV144</f>
        <v>3414</v>
      </c>
    </row>
    <row r="145" spans="2:55" s="196" customFormat="1" ht="63">
      <c r="B145" s="770"/>
      <c r="C145" s="819" t="s">
        <v>1444</v>
      </c>
      <c r="D145" s="820"/>
      <c r="E145" s="770" t="s">
        <v>1446</v>
      </c>
      <c r="F145" s="770">
        <v>3</v>
      </c>
      <c r="G145" s="821">
        <v>3414</v>
      </c>
      <c r="H145" s="821"/>
      <c r="I145" s="821"/>
      <c r="J145" s="821"/>
      <c r="K145" s="821"/>
      <c r="L145" s="821"/>
      <c r="M145" s="821"/>
      <c r="N145" s="821"/>
      <c r="O145" s="821"/>
      <c r="P145" s="821"/>
      <c r="Q145" s="821"/>
      <c r="R145" s="821">
        <f>G145+I145+K145+L145+N145+P145+Q145</f>
        <v>3414</v>
      </c>
      <c r="S145" s="821">
        <v>1</v>
      </c>
      <c r="T145" s="821"/>
      <c r="U145" s="821"/>
      <c r="V145" s="824">
        <v>0.1</v>
      </c>
      <c r="W145" s="821">
        <f>R145*V145</f>
        <v>341.40000000000003</v>
      </c>
      <c r="X145" s="770"/>
      <c r="Y145" s="824"/>
      <c r="Z145" s="821"/>
      <c r="AA145" s="821">
        <f>AH145</f>
        <v>3286</v>
      </c>
      <c r="AB145" s="821">
        <f>(R145+Z145+U145+W145)*S145+AA145</f>
        <v>7041.4</v>
      </c>
      <c r="AC145" s="825">
        <f>AF145</f>
        <v>0</v>
      </c>
      <c r="AD145" s="825">
        <f>AB145+AC145</f>
        <v>7041.4</v>
      </c>
      <c r="AE145" s="826">
        <f>AB145</f>
        <v>7041.4</v>
      </c>
      <c r="AF145" s="826">
        <f>AE145-AB145</f>
        <v>0</v>
      </c>
      <c r="AG145" s="827">
        <f>6700*S145</f>
        <v>6700</v>
      </c>
      <c r="AH145" s="826">
        <f>AG145-(R145*S145)</f>
        <v>3286</v>
      </c>
      <c r="AI145" s="828">
        <f>G145*S145</f>
        <v>3414</v>
      </c>
      <c r="AJ145" s="828">
        <f>G145*T145</f>
        <v>0</v>
      </c>
      <c r="AK145" s="828">
        <f>R145*S145</f>
        <v>3414</v>
      </c>
      <c r="AL145" s="828">
        <f>R145*T145</f>
        <v>0</v>
      </c>
      <c r="AM145" s="828">
        <f t="shared" si="208"/>
        <v>0</v>
      </c>
      <c r="AN145" s="828">
        <f t="shared" si="208"/>
        <v>0</v>
      </c>
      <c r="AO145" s="830">
        <f>Z145*S145</f>
        <v>0</v>
      </c>
      <c r="AP145" s="830">
        <f>Z145*T145</f>
        <v>0</v>
      </c>
      <c r="AQ145" s="830">
        <f>AA145</f>
        <v>3286</v>
      </c>
      <c r="AR145" s="830">
        <f>W145*S145</f>
        <v>341.40000000000003</v>
      </c>
      <c r="AS145" s="830">
        <f>W145*T145</f>
        <v>0</v>
      </c>
      <c r="AT145" s="835">
        <f t="shared" si="209"/>
        <v>3414</v>
      </c>
      <c r="AU145" s="835">
        <f t="shared" si="210"/>
        <v>0</v>
      </c>
      <c r="AV145" s="828"/>
      <c r="AW145" s="944">
        <f>AT145+AU145-AV145</f>
        <v>3414</v>
      </c>
    </row>
    <row r="146" spans="2:55" s="196" customFormat="1" ht="63">
      <c r="B146" s="770"/>
      <c r="C146" s="819" t="s">
        <v>1444</v>
      </c>
      <c r="D146" s="820"/>
      <c r="E146" s="770" t="s">
        <v>1447</v>
      </c>
      <c r="F146" s="770">
        <v>3</v>
      </c>
      <c r="G146" s="821">
        <v>3414</v>
      </c>
      <c r="H146" s="821"/>
      <c r="I146" s="821"/>
      <c r="J146" s="821"/>
      <c r="K146" s="821"/>
      <c r="L146" s="821"/>
      <c r="M146" s="821"/>
      <c r="N146" s="821"/>
      <c r="O146" s="821"/>
      <c r="P146" s="821"/>
      <c r="Q146" s="821"/>
      <c r="R146" s="821">
        <f>G146+I146+K146+L146+N146+P146+Q146</f>
        <v>3414</v>
      </c>
      <c r="S146" s="821">
        <v>1</v>
      </c>
      <c r="T146" s="821"/>
      <c r="U146" s="821"/>
      <c r="V146" s="824">
        <v>0.1</v>
      </c>
      <c r="W146" s="821">
        <f>R146*V146</f>
        <v>341.40000000000003</v>
      </c>
      <c r="X146" s="770"/>
      <c r="Y146" s="824"/>
      <c r="Z146" s="821"/>
      <c r="AA146" s="821">
        <f>AH146</f>
        <v>3286</v>
      </c>
      <c r="AB146" s="821">
        <f>(R146+Z146+U146+W146)*S146+AA146</f>
        <v>7041.4</v>
      </c>
      <c r="AC146" s="825">
        <f>AF146</f>
        <v>0</v>
      </c>
      <c r="AD146" s="825">
        <f>AB146+AC146</f>
        <v>7041.4</v>
      </c>
      <c r="AE146" s="826">
        <f>AB146</f>
        <v>7041.4</v>
      </c>
      <c r="AF146" s="826">
        <f>AE146-AB146</f>
        <v>0</v>
      </c>
      <c r="AG146" s="827">
        <f>6700*S146</f>
        <v>6700</v>
      </c>
      <c r="AH146" s="826">
        <f>AG146-(R146*S146)</f>
        <v>3286</v>
      </c>
      <c r="AI146" s="828">
        <f>G146*S146</f>
        <v>3414</v>
      </c>
      <c r="AJ146" s="828">
        <f>G146*T146</f>
        <v>0</v>
      </c>
      <c r="AK146" s="828">
        <f>R146*S146</f>
        <v>3414</v>
      </c>
      <c r="AL146" s="828">
        <f>R146*T146</f>
        <v>0</v>
      </c>
      <c r="AM146" s="828">
        <f t="shared" si="208"/>
        <v>0</v>
      </c>
      <c r="AN146" s="828">
        <f t="shared" si="208"/>
        <v>0</v>
      </c>
      <c r="AO146" s="830">
        <f>Z146*S146</f>
        <v>0</v>
      </c>
      <c r="AP146" s="830">
        <f>Z146*T146</f>
        <v>0</v>
      </c>
      <c r="AQ146" s="830">
        <f>AA146</f>
        <v>3286</v>
      </c>
      <c r="AR146" s="830">
        <f>W146*S146</f>
        <v>341.40000000000003</v>
      </c>
      <c r="AS146" s="830">
        <f>W146*T146</f>
        <v>0</v>
      </c>
      <c r="AT146" s="835">
        <f t="shared" si="209"/>
        <v>3414</v>
      </c>
      <c r="AU146" s="835">
        <f t="shared" si="210"/>
        <v>0</v>
      </c>
      <c r="AV146" s="828"/>
      <c r="AW146" s="944">
        <f>AT146+AU146-AV146</f>
        <v>3414</v>
      </c>
    </row>
    <row r="147" spans="2:55" s="196" customFormat="1" ht="63">
      <c r="B147" s="770"/>
      <c r="C147" s="819" t="s">
        <v>1444</v>
      </c>
      <c r="D147" s="820"/>
      <c r="E147" s="770" t="s">
        <v>1448</v>
      </c>
      <c r="F147" s="770">
        <v>3</v>
      </c>
      <c r="G147" s="821">
        <v>3414</v>
      </c>
      <c r="H147" s="821"/>
      <c r="I147" s="821"/>
      <c r="J147" s="821"/>
      <c r="K147" s="821"/>
      <c r="L147" s="821"/>
      <c r="M147" s="821"/>
      <c r="N147" s="821"/>
      <c r="O147" s="821"/>
      <c r="P147" s="831"/>
      <c r="Q147" s="831"/>
      <c r="R147" s="821">
        <f>G147+I147+K147+L147+N147+P147+Q147</f>
        <v>3414</v>
      </c>
      <c r="S147" s="821">
        <v>1</v>
      </c>
      <c r="T147" s="821"/>
      <c r="U147" s="821"/>
      <c r="V147" s="824">
        <v>0.1</v>
      </c>
      <c r="W147" s="821">
        <f>R147*V147</f>
        <v>341.40000000000003</v>
      </c>
      <c r="X147" s="770"/>
      <c r="Y147" s="824"/>
      <c r="Z147" s="821"/>
      <c r="AA147" s="821">
        <f>AH147</f>
        <v>3286</v>
      </c>
      <c r="AB147" s="821">
        <f>(R147+Z147+U147+W147)*S147+AA147</f>
        <v>7041.4</v>
      </c>
      <c r="AC147" s="825">
        <f>AF147</f>
        <v>0</v>
      </c>
      <c r="AD147" s="825">
        <f>AB147+AC147</f>
        <v>7041.4</v>
      </c>
      <c r="AE147" s="826">
        <f>AB147</f>
        <v>7041.4</v>
      </c>
      <c r="AF147" s="826">
        <f>AE147-AB147</f>
        <v>0</v>
      </c>
      <c r="AG147" s="827">
        <f>6700*S147</f>
        <v>6700</v>
      </c>
      <c r="AH147" s="826">
        <f>AG147-(R147*S147)</f>
        <v>3286</v>
      </c>
      <c r="AI147" s="828">
        <f>G147*S147</f>
        <v>3414</v>
      </c>
      <c r="AJ147" s="828">
        <f>G147*T147</f>
        <v>0</v>
      </c>
      <c r="AK147" s="828">
        <f>R147*S147</f>
        <v>3414</v>
      </c>
      <c r="AL147" s="828">
        <f>R147*T147</f>
        <v>0</v>
      </c>
      <c r="AM147" s="828">
        <f t="shared" si="208"/>
        <v>0</v>
      </c>
      <c r="AN147" s="828">
        <f t="shared" si="208"/>
        <v>0</v>
      </c>
      <c r="AO147" s="830">
        <f>Z147*S147</f>
        <v>0</v>
      </c>
      <c r="AP147" s="830">
        <f>Z147*T147</f>
        <v>0</v>
      </c>
      <c r="AQ147" s="830">
        <f>AA147</f>
        <v>3286</v>
      </c>
      <c r="AR147" s="830">
        <f>W147*S147</f>
        <v>341.40000000000003</v>
      </c>
      <c r="AS147" s="830">
        <f>W147*T147</f>
        <v>0</v>
      </c>
      <c r="AT147" s="835">
        <f t="shared" si="209"/>
        <v>3414</v>
      </c>
      <c r="AU147" s="835">
        <f t="shared" si="210"/>
        <v>0</v>
      </c>
      <c r="AV147" s="828"/>
      <c r="AW147" s="944">
        <f>AT147+AU147-AV147</f>
        <v>3414</v>
      </c>
    </row>
    <row r="148" spans="2:55" s="196" customFormat="1" ht="31.5">
      <c r="B148" s="770"/>
      <c r="C148" s="799" t="s">
        <v>504</v>
      </c>
      <c r="D148" s="832"/>
      <c r="E148" s="812"/>
      <c r="F148" s="812"/>
      <c r="G148" s="803">
        <f>SUM(G143:G147)</f>
        <v>17070</v>
      </c>
      <c r="H148" s="902"/>
      <c r="I148" s="803"/>
      <c r="J148" s="902"/>
      <c r="K148" s="803"/>
      <c r="L148" s="803"/>
      <c r="M148" s="902"/>
      <c r="N148" s="803"/>
      <c r="O148" s="902"/>
      <c r="P148" s="803"/>
      <c r="Q148" s="803"/>
      <c r="R148" s="803">
        <f>SUM(R143:R147)</f>
        <v>17070</v>
      </c>
      <c r="S148" s="802">
        <f>SUM(S143:S147)</f>
        <v>5</v>
      </c>
      <c r="T148" s="802">
        <f>SUM(T143:T147)</f>
        <v>0</v>
      </c>
      <c r="U148" s="803"/>
      <c r="V148" s="803"/>
      <c r="W148" s="803">
        <f>SUM(W143:W147)</f>
        <v>1707.0000000000002</v>
      </c>
      <c r="X148" s="803"/>
      <c r="Y148" s="803"/>
      <c r="Z148" s="803"/>
      <c r="AA148" s="802">
        <f>SUM(AA143:AA147)</f>
        <v>16430</v>
      </c>
      <c r="AB148" s="802">
        <f>SUM(AB143:AB147)</f>
        <v>35207</v>
      </c>
      <c r="AC148" s="802">
        <f t="shared" ref="AC148:AW148" si="211">SUM(AC143:AC147)</f>
        <v>0</v>
      </c>
      <c r="AD148" s="802">
        <f t="shared" si="211"/>
        <v>35207</v>
      </c>
      <c r="AE148" s="802">
        <f t="shared" si="211"/>
        <v>35207</v>
      </c>
      <c r="AF148" s="802">
        <f t="shared" si="211"/>
        <v>0</v>
      </c>
      <c r="AG148" s="802">
        <f t="shared" si="211"/>
        <v>33500</v>
      </c>
      <c r="AH148" s="802">
        <f t="shared" si="211"/>
        <v>16430</v>
      </c>
      <c r="AI148" s="802">
        <f t="shared" si="211"/>
        <v>17070</v>
      </c>
      <c r="AJ148" s="802">
        <f t="shared" si="211"/>
        <v>0</v>
      </c>
      <c r="AK148" s="802">
        <f t="shared" si="211"/>
        <v>17070</v>
      </c>
      <c r="AL148" s="802">
        <f t="shared" si="211"/>
        <v>0</v>
      </c>
      <c r="AM148" s="802">
        <f t="shared" si="211"/>
        <v>0</v>
      </c>
      <c r="AN148" s="802">
        <f t="shared" si="211"/>
        <v>0</v>
      </c>
      <c r="AO148" s="802">
        <f t="shared" si="211"/>
        <v>0</v>
      </c>
      <c r="AP148" s="802">
        <f t="shared" si="211"/>
        <v>0</v>
      </c>
      <c r="AQ148" s="802">
        <f t="shared" si="211"/>
        <v>16430</v>
      </c>
      <c r="AR148" s="802">
        <f t="shared" si="211"/>
        <v>1707.0000000000002</v>
      </c>
      <c r="AS148" s="802">
        <f t="shared" si="211"/>
        <v>0</v>
      </c>
      <c r="AT148" s="802">
        <f t="shared" si="211"/>
        <v>17070</v>
      </c>
      <c r="AU148" s="802">
        <f t="shared" si="211"/>
        <v>0</v>
      </c>
      <c r="AV148" s="802">
        <f t="shared" si="211"/>
        <v>0</v>
      </c>
      <c r="AW148" s="802">
        <f t="shared" si="211"/>
        <v>17070</v>
      </c>
    </row>
    <row r="149" spans="2:55" s="196" customFormat="1" ht="31.5">
      <c r="B149" s="770"/>
      <c r="C149" s="799" t="s">
        <v>1547</v>
      </c>
      <c r="D149" s="832"/>
      <c r="E149" s="812"/>
      <c r="F149" s="812"/>
      <c r="G149" s="803">
        <f>G129+G141+G148</f>
        <v>107184</v>
      </c>
      <c r="H149" s="803"/>
      <c r="I149" s="803">
        <f t="shared" ref="I149:AB149" si="212">I129+I141+I148</f>
        <v>1926.7</v>
      </c>
      <c r="J149" s="803"/>
      <c r="K149" s="803">
        <f t="shared" si="212"/>
        <v>7040.2800000000007</v>
      </c>
      <c r="L149" s="803"/>
      <c r="M149" s="803"/>
      <c r="N149" s="803"/>
      <c r="O149" s="803"/>
      <c r="P149" s="803">
        <f t="shared" si="212"/>
        <v>1970.1</v>
      </c>
      <c r="Q149" s="803"/>
      <c r="R149" s="803">
        <f t="shared" si="212"/>
        <v>118121.08000000002</v>
      </c>
      <c r="S149" s="802">
        <f t="shared" si="212"/>
        <v>19</v>
      </c>
      <c r="T149" s="802">
        <f t="shared" si="212"/>
        <v>1</v>
      </c>
      <c r="U149" s="803"/>
      <c r="V149" s="803"/>
      <c r="W149" s="803">
        <f t="shared" si="212"/>
        <v>1707.0000000000002</v>
      </c>
      <c r="X149" s="803"/>
      <c r="Y149" s="803"/>
      <c r="Z149" s="803">
        <f t="shared" si="212"/>
        <v>24940.013999999999</v>
      </c>
      <c r="AA149" s="802">
        <f t="shared" si="212"/>
        <v>17784</v>
      </c>
      <c r="AB149" s="802">
        <f t="shared" si="212"/>
        <v>153489.63400000002</v>
      </c>
      <c r="AC149" s="802">
        <f t="shared" ref="AC149:AW149" si="213">AC129+AC141+AC148</f>
        <v>116717.36599999999</v>
      </c>
      <c r="AD149" s="802">
        <f t="shared" si="213"/>
        <v>270207</v>
      </c>
      <c r="AE149" s="802">
        <f t="shared" si="213"/>
        <v>270207</v>
      </c>
      <c r="AF149" s="802">
        <f t="shared" si="213"/>
        <v>116717.36599999999</v>
      </c>
      <c r="AG149" s="802">
        <f t="shared" si="213"/>
        <v>134000</v>
      </c>
      <c r="AH149" s="802">
        <f t="shared" si="213"/>
        <v>33919.684000000001</v>
      </c>
      <c r="AI149" s="802">
        <f t="shared" si="213"/>
        <v>94050</v>
      </c>
      <c r="AJ149" s="802">
        <f t="shared" si="213"/>
        <v>6567</v>
      </c>
      <c r="AK149" s="802">
        <f t="shared" si="213"/>
        <v>103016.98000000001</v>
      </c>
      <c r="AL149" s="802">
        <f t="shared" si="213"/>
        <v>7552.05</v>
      </c>
      <c r="AM149" s="802">
        <f t="shared" si="213"/>
        <v>8966.9800000000014</v>
      </c>
      <c r="AN149" s="802">
        <f t="shared" si="213"/>
        <v>985.05000000000018</v>
      </c>
      <c r="AO149" s="802">
        <f t="shared" si="213"/>
        <v>21919.194</v>
      </c>
      <c r="AP149" s="802">
        <f t="shared" si="213"/>
        <v>1510.4099999999999</v>
      </c>
      <c r="AQ149" s="802">
        <f t="shared" si="213"/>
        <v>17784</v>
      </c>
      <c r="AR149" s="802">
        <f t="shared" si="213"/>
        <v>1707.0000000000002</v>
      </c>
      <c r="AS149" s="802">
        <f t="shared" si="213"/>
        <v>0</v>
      </c>
      <c r="AT149" s="802">
        <f t="shared" si="213"/>
        <v>103016.98000000001</v>
      </c>
      <c r="AU149" s="802">
        <f t="shared" si="213"/>
        <v>7552.05</v>
      </c>
      <c r="AV149" s="802">
        <f t="shared" si="213"/>
        <v>0</v>
      </c>
      <c r="AW149" s="802">
        <f t="shared" si="213"/>
        <v>110569.03</v>
      </c>
    </row>
    <row r="150" spans="2:55" s="196" customFormat="1" ht="33">
      <c r="B150" s="770"/>
      <c r="C150" s="810" t="s">
        <v>540</v>
      </c>
      <c r="D150" s="811"/>
      <c r="E150" s="812"/>
      <c r="F150" s="812"/>
      <c r="G150" s="812"/>
      <c r="H150" s="813"/>
      <c r="I150" s="812"/>
      <c r="J150" s="813"/>
      <c r="K150" s="812"/>
      <c r="L150" s="812"/>
      <c r="M150" s="813"/>
      <c r="N150" s="812"/>
      <c r="O150" s="813"/>
      <c r="P150" s="812"/>
      <c r="Q150" s="812"/>
      <c r="R150" s="812"/>
      <c r="S150" s="812"/>
      <c r="T150" s="812"/>
      <c r="U150" s="812"/>
      <c r="V150" s="812"/>
      <c r="W150" s="812"/>
      <c r="X150" s="812"/>
      <c r="Y150" s="812"/>
      <c r="Z150" s="812"/>
      <c r="AA150" s="812"/>
      <c r="AB150" s="812"/>
      <c r="AC150" s="834"/>
      <c r="AD150" s="834"/>
      <c r="AE150" s="815"/>
      <c r="AF150" s="815"/>
      <c r="AG150" s="816"/>
      <c r="AH150" s="815"/>
      <c r="AI150" s="828">
        <f>G150*S150</f>
        <v>0</v>
      </c>
      <c r="AJ150" s="828">
        <f>G150*T150</f>
        <v>0</v>
      </c>
      <c r="AK150" s="828">
        <f>R150*S150</f>
        <v>0</v>
      </c>
      <c r="AL150" s="828">
        <f>R150*T150</f>
        <v>0</v>
      </c>
      <c r="AM150" s="828">
        <f t="shared" ref="AM150:AN152" si="214">AK150-AI150</f>
        <v>0</v>
      </c>
      <c r="AN150" s="828">
        <f t="shared" si="214"/>
        <v>0</v>
      </c>
      <c r="AO150" s="830">
        <f>Z150*S150</f>
        <v>0</v>
      </c>
      <c r="AP150" s="830">
        <f>Z150*T150</f>
        <v>0</v>
      </c>
      <c r="AQ150" s="830">
        <f>AA150</f>
        <v>0</v>
      </c>
      <c r="AR150" s="830">
        <f>W150*S150</f>
        <v>0</v>
      </c>
      <c r="AS150" s="830">
        <f>W150*T150</f>
        <v>0</v>
      </c>
      <c r="AT150" s="835">
        <f t="shared" si="209"/>
        <v>0</v>
      </c>
      <c r="AU150" s="835">
        <f t="shared" si="210"/>
        <v>0</v>
      </c>
      <c r="AV150" s="828"/>
      <c r="AW150" s="944">
        <f>AT150+AU150-AV150</f>
        <v>0</v>
      </c>
    </row>
    <row r="151" spans="2:55" s="196" customFormat="1" ht="33">
      <c r="B151" s="770"/>
      <c r="C151" s="851" t="s">
        <v>1720</v>
      </c>
      <c r="D151" s="845"/>
      <c r="E151" s="846"/>
      <c r="F151" s="846"/>
      <c r="G151" s="846"/>
      <c r="H151" s="847"/>
      <c r="I151" s="846"/>
      <c r="J151" s="847"/>
      <c r="K151" s="846"/>
      <c r="L151" s="846"/>
      <c r="M151" s="847"/>
      <c r="N151" s="846"/>
      <c r="O151" s="847"/>
      <c r="P151" s="846"/>
      <c r="Q151" s="846"/>
      <c r="R151" s="846"/>
      <c r="S151" s="846"/>
      <c r="T151" s="846"/>
      <c r="U151" s="846"/>
      <c r="V151" s="846"/>
      <c r="W151" s="846"/>
      <c r="X151" s="846"/>
      <c r="Y151" s="846"/>
      <c r="Z151" s="846"/>
      <c r="AA151" s="846"/>
      <c r="AB151" s="846"/>
      <c r="AC151" s="848"/>
      <c r="AD151" s="848"/>
      <c r="AE151" s="849"/>
      <c r="AF151" s="849"/>
      <c r="AG151" s="850"/>
      <c r="AH151" s="849"/>
      <c r="AI151" s="828">
        <f>G151*S151</f>
        <v>0</v>
      </c>
      <c r="AJ151" s="828">
        <f>G151*T151</f>
        <v>0</v>
      </c>
      <c r="AK151" s="828">
        <f>R151*S151</f>
        <v>0</v>
      </c>
      <c r="AL151" s="828">
        <f>R151*T151</f>
        <v>0</v>
      </c>
      <c r="AM151" s="828">
        <f t="shared" si="214"/>
        <v>0</v>
      </c>
      <c r="AN151" s="828">
        <f t="shared" si="214"/>
        <v>0</v>
      </c>
      <c r="AO151" s="830">
        <f>Z151*S151</f>
        <v>0</v>
      </c>
      <c r="AP151" s="830">
        <f>Z151*T151</f>
        <v>0</v>
      </c>
      <c r="AQ151" s="830">
        <f>AA151</f>
        <v>0</v>
      </c>
      <c r="AR151" s="830">
        <f>W151*S151</f>
        <v>0</v>
      </c>
      <c r="AS151" s="830">
        <f>W151*T151</f>
        <v>0</v>
      </c>
      <c r="AT151" s="835">
        <f t="shared" si="209"/>
        <v>0</v>
      </c>
      <c r="AU151" s="835">
        <f t="shared" si="210"/>
        <v>0</v>
      </c>
      <c r="AV151" s="828"/>
      <c r="AW151" s="944">
        <f>AT151+AU151-AV151</f>
        <v>0</v>
      </c>
      <c r="BC151" s="197"/>
    </row>
    <row r="152" spans="2:55" s="196" customFormat="1" ht="58.5">
      <c r="B152" s="770"/>
      <c r="C152" s="819" t="s">
        <v>541</v>
      </c>
      <c r="D152" s="820" t="s">
        <v>1660</v>
      </c>
      <c r="E152" s="770" t="s">
        <v>1262</v>
      </c>
      <c r="F152" s="770">
        <v>13</v>
      </c>
      <c r="G152" s="821">
        <v>6567</v>
      </c>
      <c r="H152" s="824"/>
      <c r="I152" s="770"/>
      <c r="J152" s="821"/>
      <c r="K152" s="821"/>
      <c r="L152" s="821"/>
      <c r="M152" s="821"/>
      <c r="N152" s="812"/>
      <c r="O152" s="824">
        <v>0.15</v>
      </c>
      <c r="P152" s="829">
        <f>G152*O152</f>
        <v>985.05</v>
      </c>
      <c r="Q152" s="824"/>
      <c r="R152" s="821">
        <f>G152+I152+K152+L152+N152+P152+Q152</f>
        <v>7552.05</v>
      </c>
      <c r="S152" s="821">
        <v>1</v>
      </c>
      <c r="T152" s="770"/>
      <c r="U152" s="770"/>
      <c r="V152" s="824"/>
      <c r="W152" s="770"/>
      <c r="X152" s="770">
        <v>26</v>
      </c>
      <c r="Y152" s="824">
        <v>0.3</v>
      </c>
      <c r="Z152" s="821">
        <f>R152*Y152</f>
        <v>2265.6149999999998</v>
      </c>
      <c r="AA152" s="821"/>
      <c r="AB152" s="821">
        <f>R152+Z152</f>
        <v>9817.6650000000009</v>
      </c>
      <c r="AC152" s="825">
        <f>AF152</f>
        <v>10182.334999999999</v>
      </c>
      <c r="AD152" s="825">
        <f>AB152+AC152</f>
        <v>20000</v>
      </c>
      <c r="AE152" s="826">
        <f>20000*S152</f>
        <v>20000</v>
      </c>
      <c r="AF152" s="826">
        <f>AE152-AB152</f>
        <v>10182.334999999999</v>
      </c>
      <c r="AG152" s="827">
        <f>6700*S152</f>
        <v>6700</v>
      </c>
      <c r="AH152" s="826">
        <f>AB152-AG152</f>
        <v>3117.6650000000009</v>
      </c>
      <c r="AI152" s="828">
        <f>G152*S152</f>
        <v>6567</v>
      </c>
      <c r="AJ152" s="828">
        <f>G152*T152</f>
        <v>0</v>
      </c>
      <c r="AK152" s="828">
        <f>R152*S152</f>
        <v>7552.05</v>
      </c>
      <c r="AL152" s="828">
        <f>R152*T152</f>
        <v>0</v>
      </c>
      <c r="AM152" s="828">
        <f t="shared" si="214"/>
        <v>985.05000000000018</v>
      </c>
      <c r="AN152" s="828">
        <f t="shared" si="214"/>
        <v>0</v>
      </c>
      <c r="AO152" s="830">
        <f>Z152*S152</f>
        <v>2265.6149999999998</v>
      </c>
      <c r="AP152" s="830">
        <f>Z152*T152</f>
        <v>0</v>
      </c>
      <c r="AQ152" s="830">
        <f>AA152</f>
        <v>0</v>
      </c>
      <c r="AR152" s="830">
        <f>W152*S152</f>
        <v>0</v>
      </c>
      <c r="AS152" s="830">
        <f>W152*T152</f>
        <v>0</v>
      </c>
      <c r="AT152" s="835">
        <f t="shared" si="209"/>
        <v>7552.05</v>
      </c>
      <c r="AU152" s="835">
        <f t="shared" si="210"/>
        <v>0</v>
      </c>
      <c r="AV152" s="828"/>
      <c r="AW152" s="944">
        <f>AT152+AU152-AV152</f>
        <v>7552.05</v>
      </c>
    </row>
    <row r="153" spans="2:55" s="196" customFormat="1" ht="31.5">
      <c r="B153" s="770"/>
      <c r="C153" s="799" t="s">
        <v>504</v>
      </c>
      <c r="D153" s="832"/>
      <c r="E153" s="812"/>
      <c r="F153" s="812"/>
      <c r="G153" s="802">
        <f>SUM(G152:G152)</f>
        <v>6567</v>
      </c>
      <c r="H153" s="875"/>
      <c r="I153" s="802">
        <f>SUM(I152:I152)</f>
        <v>0</v>
      </c>
      <c r="J153" s="875">
        <f>SUM(J152:J152)</f>
        <v>0</v>
      </c>
      <c r="K153" s="802">
        <f>SUM(K152:K152)</f>
        <v>0</v>
      </c>
      <c r="L153" s="802"/>
      <c r="M153" s="875"/>
      <c r="N153" s="802"/>
      <c r="O153" s="875"/>
      <c r="P153" s="802">
        <f>SUM(P152:P152)</f>
        <v>985.05</v>
      </c>
      <c r="Q153" s="802"/>
      <c r="R153" s="802">
        <f>SUM(R152:R152)</f>
        <v>7552.05</v>
      </c>
      <c r="S153" s="802">
        <f>SUM(S152:S152)</f>
        <v>1</v>
      </c>
      <c r="T153" s="802">
        <f>SUM(T152:T152)</f>
        <v>0</v>
      </c>
      <c r="U153" s="802"/>
      <c r="V153" s="802"/>
      <c r="W153" s="802"/>
      <c r="X153" s="802"/>
      <c r="Y153" s="802"/>
      <c r="Z153" s="802">
        <f t="shared" ref="Z153:AW153" si="215">SUM(Z152:Z152)</f>
        <v>2265.6149999999998</v>
      </c>
      <c r="AA153" s="802">
        <f t="shared" si="215"/>
        <v>0</v>
      </c>
      <c r="AB153" s="802">
        <f t="shared" si="215"/>
        <v>9817.6650000000009</v>
      </c>
      <c r="AC153" s="802">
        <f t="shared" si="215"/>
        <v>10182.334999999999</v>
      </c>
      <c r="AD153" s="802">
        <f t="shared" si="215"/>
        <v>20000</v>
      </c>
      <c r="AE153" s="802">
        <f t="shared" si="215"/>
        <v>20000</v>
      </c>
      <c r="AF153" s="802">
        <f t="shared" si="215"/>
        <v>10182.334999999999</v>
      </c>
      <c r="AG153" s="802">
        <f t="shared" si="215"/>
        <v>6700</v>
      </c>
      <c r="AH153" s="802">
        <f t="shared" si="215"/>
        <v>3117.6650000000009</v>
      </c>
      <c r="AI153" s="802">
        <f t="shared" si="215"/>
        <v>6567</v>
      </c>
      <c r="AJ153" s="802">
        <f t="shared" si="215"/>
        <v>0</v>
      </c>
      <c r="AK153" s="802">
        <f t="shared" si="215"/>
        <v>7552.05</v>
      </c>
      <c r="AL153" s="802">
        <f t="shared" si="215"/>
        <v>0</v>
      </c>
      <c r="AM153" s="802">
        <f t="shared" si="215"/>
        <v>985.05000000000018</v>
      </c>
      <c r="AN153" s="802">
        <f t="shared" si="215"/>
        <v>0</v>
      </c>
      <c r="AO153" s="802">
        <f t="shared" si="215"/>
        <v>2265.6149999999998</v>
      </c>
      <c r="AP153" s="802">
        <f t="shared" si="215"/>
        <v>0</v>
      </c>
      <c r="AQ153" s="802">
        <f t="shared" si="215"/>
        <v>0</v>
      </c>
      <c r="AR153" s="802">
        <f t="shared" si="215"/>
        <v>0</v>
      </c>
      <c r="AS153" s="802">
        <f t="shared" si="215"/>
        <v>0</v>
      </c>
      <c r="AT153" s="802">
        <f t="shared" si="215"/>
        <v>7552.05</v>
      </c>
      <c r="AU153" s="802">
        <f t="shared" si="215"/>
        <v>0</v>
      </c>
      <c r="AV153" s="802">
        <f t="shared" si="215"/>
        <v>0</v>
      </c>
      <c r="AW153" s="802">
        <f t="shared" si="215"/>
        <v>7552.05</v>
      </c>
    </row>
    <row r="154" spans="2:55" s="196" customFormat="1" ht="33">
      <c r="B154" s="770"/>
      <c r="C154" s="851" t="s">
        <v>1988</v>
      </c>
      <c r="D154" s="845"/>
      <c r="E154" s="846"/>
      <c r="F154" s="846"/>
      <c r="G154" s="846"/>
      <c r="H154" s="847"/>
      <c r="I154" s="846"/>
      <c r="J154" s="847"/>
      <c r="K154" s="846"/>
      <c r="L154" s="846"/>
      <c r="M154" s="847"/>
      <c r="N154" s="846"/>
      <c r="O154" s="847"/>
      <c r="P154" s="846"/>
      <c r="Q154" s="846"/>
      <c r="R154" s="846"/>
      <c r="S154" s="846"/>
      <c r="T154" s="846"/>
      <c r="U154" s="846"/>
      <c r="V154" s="846"/>
      <c r="W154" s="846"/>
      <c r="X154" s="846"/>
      <c r="Y154" s="846"/>
      <c r="Z154" s="846"/>
      <c r="AA154" s="846"/>
      <c r="AB154" s="846"/>
      <c r="AC154" s="848"/>
      <c r="AD154" s="848"/>
      <c r="AE154" s="849"/>
      <c r="AF154" s="849"/>
      <c r="AG154" s="850"/>
      <c r="AH154" s="849"/>
      <c r="AI154" s="828"/>
      <c r="AJ154" s="828"/>
      <c r="AK154" s="828"/>
      <c r="AL154" s="828"/>
      <c r="AM154" s="828"/>
      <c r="AN154" s="828"/>
      <c r="AO154" s="830"/>
      <c r="AP154" s="830"/>
      <c r="AQ154" s="830"/>
      <c r="AR154" s="830"/>
      <c r="AS154" s="830"/>
      <c r="AT154" s="835"/>
      <c r="AU154" s="835"/>
      <c r="AV154" s="828"/>
      <c r="AW154" s="944"/>
      <c r="BC154" s="197"/>
    </row>
    <row r="155" spans="2:55" s="196" customFormat="1" ht="58.5">
      <c r="B155" s="770"/>
      <c r="C155" s="819" t="s">
        <v>576</v>
      </c>
      <c r="D155" s="820" t="s">
        <v>1348</v>
      </c>
      <c r="E155" s="770" t="s">
        <v>1349</v>
      </c>
      <c r="F155" s="770">
        <v>8</v>
      </c>
      <c r="G155" s="821">
        <v>4745</v>
      </c>
      <c r="H155" s="821"/>
      <c r="I155" s="821"/>
      <c r="J155" s="821"/>
      <c r="K155" s="821"/>
      <c r="L155" s="821"/>
      <c r="M155" s="821"/>
      <c r="N155" s="821"/>
      <c r="O155" s="824">
        <v>0.15</v>
      </c>
      <c r="P155" s="821">
        <f t="shared" ref="P155:P160" si="216">G155*O155</f>
        <v>711.75</v>
      </c>
      <c r="Q155" s="821"/>
      <c r="R155" s="821">
        <f t="shared" ref="R155:R160" si="217">G155+I155+K155+L155+N155+P155+Q155</f>
        <v>5456.75</v>
      </c>
      <c r="S155" s="821">
        <v>1</v>
      </c>
      <c r="T155" s="831"/>
      <c r="U155" s="831"/>
      <c r="V155" s="831"/>
      <c r="W155" s="831"/>
      <c r="X155" s="770">
        <v>14</v>
      </c>
      <c r="Y155" s="824">
        <v>0.2</v>
      </c>
      <c r="Z155" s="821">
        <f t="shared" ref="Z155:Z160" si="218">R155*Y155</f>
        <v>1091.3500000000001</v>
      </c>
      <c r="AA155" s="821">
        <f>AH155</f>
        <v>151.89999999999986</v>
      </c>
      <c r="AB155" s="821">
        <f t="shared" ref="AB155:AB160" si="219">(R155+Z155)*S155+AA155</f>
        <v>6700</v>
      </c>
      <c r="AC155" s="825">
        <f t="shared" ref="AC155:AC160" si="220">AF155</f>
        <v>6800</v>
      </c>
      <c r="AD155" s="825">
        <f t="shared" ref="AD155:AD160" si="221">AB155+AC155</f>
        <v>13500</v>
      </c>
      <c r="AE155" s="826">
        <f t="shared" ref="AE155:AE160" si="222">13500*S155</f>
        <v>13500</v>
      </c>
      <c r="AF155" s="826">
        <f t="shared" ref="AF155:AF160" si="223">AE155-AB155</f>
        <v>6800</v>
      </c>
      <c r="AG155" s="827">
        <f t="shared" ref="AG155:AG160" si="224">6700*S155</f>
        <v>6700</v>
      </c>
      <c r="AH155" s="826">
        <f>AG155-(R155*S155)-Z155</f>
        <v>151.89999999999986</v>
      </c>
      <c r="AI155" s="828">
        <f t="shared" ref="AI155:AI160" si="225">G155*S155</f>
        <v>4745</v>
      </c>
      <c r="AJ155" s="828">
        <f t="shared" ref="AJ155:AJ160" si="226">G155*T155</f>
        <v>0</v>
      </c>
      <c r="AK155" s="828">
        <f t="shared" ref="AK155:AK160" si="227">R155*S155</f>
        <v>5456.75</v>
      </c>
      <c r="AL155" s="828">
        <f t="shared" ref="AL155:AL160" si="228">R155*T155</f>
        <v>0</v>
      </c>
      <c r="AM155" s="828">
        <f t="shared" ref="AM155:AM160" si="229">AK155-AI155</f>
        <v>711.75</v>
      </c>
      <c r="AN155" s="828">
        <f t="shared" ref="AN155:AN160" si="230">AL155-AJ155</f>
        <v>0</v>
      </c>
      <c r="AO155" s="830">
        <f t="shared" ref="AO155:AO160" si="231">Z155*S155</f>
        <v>1091.3500000000001</v>
      </c>
      <c r="AP155" s="830">
        <f t="shared" ref="AP155:AP160" si="232">Z155*T155</f>
        <v>0</v>
      </c>
      <c r="AQ155" s="830">
        <f t="shared" ref="AQ155:AQ160" si="233">AA155</f>
        <v>151.89999999999986</v>
      </c>
      <c r="AR155" s="830">
        <f t="shared" ref="AR155:AR160" si="234">W155*S155</f>
        <v>0</v>
      </c>
      <c r="AS155" s="830">
        <f t="shared" ref="AS155:AS160" si="235">W155*T155</f>
        <v>0</v>
      </c>
      <c r="AT155" s="835">
        <f t="shared" si="209"/>
        <v>5456.75</v>
      </c>
      <c r="AU155" s="835">
        <f t="shared" si="210"/>
        <v>0</v>
      </c>
      <c r="AV155" s="828"/>
      <c r="AW155" s="944">
        <f t="shared" ref="AW155:AW160" si="236">AT155+AU155-AV155</f>
        <v>5456.75</v>
      </c>
      <c r="AX155" s="198"/>
      <c r="AY155" s="198"/>
      <c r="AZ155" s="198"/>
      <c r="BA155" s="198"/>
      <c r="BB155" s="198"/>
      <c r="BC155" s="198"/>
    </row>
    <row r="156" spans="2:55" s="196" customFormat="1" ht="58.5">
      <c r="B156" s="770"/>
      <c r="C156" s="819" t="s">
        <v>1306</v>
      </c>
      <c r="D156" s="820" t="s">
        <v>1673</v>
      </c>
      <c r="E156" s="770" t="s">
        <v>1357</v>
      </c>
      <c r="F156" s="770">
        <v>9</v>
      </c>
      <c r="G156" s="821">
        <v>5005</v>
      </c>
      <c r="H156" s="821"/>
      <c r="I156" s="821"/>
      <c r="J156" s="821"/>
      <c r="K156" s="821"/>
      <c r="L156" s="821"/>
      <c r="M156" s="821"/>
      <c r="N156" s="821"/>
      <c r="O156" s="824">
        <v>0.15</v>
      </c>
      <c r="P156" s="821">
        <f t="shared" si="216"/>
        <v>750.75</v>
      </c>
      <c r="Q156" s="821"/>
      <c r="R156" s="821">
        <f t="shared" si="217"/>
        <v>5755.75</v>
      </c>
      <c r="S156" s="821">
        <v>1</v>
      </c>
      <c r="T156" s="831"/>
      <c r="U156" s="831"/>
      <c r="V156" s="831"/>
      <c r="W156" s="831"/>
      <c r="X156" s="770">
        <v>27</v>
      </c>
      <c r="Y156" s="824">
        <v>0.3</v>
      </c>
      <c r="Z156" s="821">
        <f t="shared" si="218"/>
        <v>1726.7249999999999</v>
      </c>
      <c r="AA156" s="821"/>
      <c r="AB156" s="821">
        <f t="shared" si="219"/>
        <v>7482.4750000000004</v>
      </c>
      <c r="AC156" s="825">
        <f t="shared" si="220"/>
        <v>6017.5249999999996</v>
      </c>
      <c r="AD156" s="825">
        <f t="shared" si="221"/>
        <v>13500</v>
      </c>
      <c r="AE156" s="826">
        <f t="shared" si="222"/>
        <v>13500</v>
      </c>
      <c r="AF156" s="826">
        <f t="shared" si="223"/>
        <v>6017.5249999999996</v>
      </c>
      <c r="AG156" s="827">
        <f t="shared" si="224"/>
        <v>6700</v>
      </c>
      <c r="AH156" s="826"/>
      <c r="AI156" s="828">
        <f t="shared" si="225"/>
        <v>5005</v>
      </c>
      <c r="AJ156" s="828">
        <f t="shared" si="226"/>
        <v>0</v>
      </c>
      <c r="AK156" s="828">
        <f t="shared" si="227"/>
        <v>5755.75</v>
      </c>
      <c r="AL156" s="828">
        <f t="shared" si="228"/>
        <v>0</v>
      </c>
      <c r="AM156" s="828">
        <f t="shared" si="229"/>
        <v>750.75</v>
      </c>
      <c r="AN156" s="828">
        <f t="shared" si="230"/>
        <v>0</v>
      </c>
      <c r="AO156" s="830">
        <f t="shared" si="231"/>
        <v>1726.7249999999999</v>
      </c>
      <c r="AP156" s="830">
        <f t="shared" si="232"/>
        <v>0</v>
      </c>
      <c r="AQ156" s="830">
        <f t="shared" si="233"/>
        <v>0</v>
      </c>
      <c r="AR156" s="830">
        <f t="shared" si="234"/>
        <v>0</v>
      </c>
      <c r="AS156" s="830">
        <f t="shared" si="235"/>
        <v>0</v>
      </c>
      <c r="AT156" s="835">
        <f t="shared" si="209"/>
        <v>5755.75</v>
      </c>
      <c r="AU156" s="835">
        <f t="shared" si="210"/>
        <v>0</v>
      </c>
      <c r="AV156" s="828"/>
      <c r="AW156" s="944">
        <f t="shared" si="236"/>
        <v>5755.75</v>
      </c>
      <c r="AX156" s="198"/>
      <c r="AY156" s="198"/>
      <c r="AZ156" s="198"/>
      <c r="BA156" s="198"/>
      <c r="BB156" s="198"/>
      <c r="BC156" s="198"/>
    </row>
    <row r="157" spans="2:55" s="196" customFormat="1" ht="58.5">
      <c r="B157" s="770"/>
      <c r="C157" s="819" t="s">
        <v>1306</v>
      </c>
      <c r="D157" s="820" t="s">
        <v>577</v>
      </c>
      <c r="E157" s="770" t="s">
        <v>1358</v>
      </c>
      <c r="F157" s="770">
        <v>9</v>
      </c>
      <c r="G157" s="821">
        <v>5005</v>
      </c>
      <c r="H157" s="821"/>
      <c r="I157" s="821"/>
      <c r="J157" s="821"/>
      <c r="K157" s="821"/>
      <c r="L157" s="821"/>
      <c r="M157" s="821"/>
      <c r="N157" s="821"/>
      <c r="O157" s="824">
        <v>0.15</v>
      </c>
      <c r="P157" s="821">
        <f t="shared" si="216"/>
        <v>750.75</v>
      </c>
      <c r="Q157" s="821"/>
      <c r="R157" s="821">
        <f t="shared" si="217"/>
        <v>5755.75</v>
      </c>
      <c r="S157" s="821">
        <v>1</v>
      </c>
      <c r="T157" s="821"/>
      <c r="U157" s="821"/>
      <c r="V157" s="821"/>
      <c r="W157" s="821"/>
      <c r="X157" s="770">
        <v>34</v>
      </c>
      <c r="Y157" s="824">
        <v>0.3</v>
      </c>
      <c r="Z157" s="821">
        <f t="shared" si="218"/>
        <v>1726.7249999999999</v>
      </c>
      <c r="AA157" s="821"/>
      <c r="AB157" s="821">
        <f t="shared" si="219"/>
        <v>7482.4750000000004</v>
      </c>
      <c r="AC157" s="825">
        <f t="shared" si="220"/>
        <v>6017.5249999999996</v>
      </c>
      <c r="AD157" s="825">
        <f t="shared" si="221"/>
        <v>13500</v>
      </c>
      <c r="AE157" s="826">
        <f t="shared" si="222"/>
        <v>13500</v>
      </c>
      <c r="AF157" s="826">
        <f t="shared" si="223"/>
        <v>6017.5249999999996</v>
      </c>
      <c r="AG157" s="827">
        <f t="shared" si="224"/>
        <v>6700</v>
      </c>
      <c r="AH157" s="826"/>
      <c r="AI157" s="828">
        <f t="shared" si="225"/>
        <v>5005</v>
      </c>
      <c r="AJ157" s="828">
        <f t="shared" si="226"/>
        <v>0</v>
      </c>
      <c r="AK157" s="828">
        <f t="shared" si="227"/>
        <v>5755.75</v>
      </c>
      <c r="AL157" s="828">
        <f t="shared" si="228"/>
        <v>0</v>
      </c>
      <c r="AM157" s="828">
        <f t="shared" si="229"/>
        <v>750.75</v>
      </c>
      <c r="AN157" s="828">
        <f t="shared" si="230"/>
        <v>0</v>
      </c>
      <c r="AO157" s="830">
        <f t="shared" si="231"/>
        <v>1726.7249999999999</v>
      </c>
      <c r="AP157" s="830">
        <f t="shared" si="232"/>
        <v>0</v>
      </c>
      <c r="AQ157" s="830">
        <f t="shared" si="233"/>
        <v>0</v>
      </c>
      <c r="AR157" s="830">
        <f t="shared" si="234"/>
        <v>0</v>
      </c>
      <c r="AS157" s="830">
        <f t="shared" si="235"/>
        <v>0</v>
      </c>
      <c r="AT157" s="835">
        <f t="shared" si="209"/>
        <v>5755.75</v>
      </c>
      <c r="AU157" s="835">
        <f t="shared" si="210"/>
        <v>0</v>
      </c>
      <c r="AV157" s="828"/>
      <c r="AW157" s="944">
        <f t="shared" si="236"/>
        <v>5755.75</v>
      </c>
    </row>
    <row r="158" spans="2:55" s="196" customFormat="1" ht="58.5">
      <c r="B158" s="770"/>
      <c r="C158" s="819" t="s">
        <v>1306</v>
      </c>
      <c r="D158" s="820" t="s">
        <v>789</v>
      </c>
      <c r="E158" s="770" t="s">
        <v>1359</v>
      </c>
      <c r="F158" s="770">
        <v>9</v>
      </c>
      <c r="G158" s="821">
        <v>5005</v>
      </c>
      <c r="H158" s="821"/>
      <c r="I158" s="821"/>
      <c r="J158" s="821"/>
      <c r="K158" s="821"/>
      <c r="L158" s="821"/>
      <c r="M158" s="821"/>
      <c r="N158" s="821"/>
      <c r="O158" s="824">
        <v>0.15</v>
      </c>
      <c r="P158" s="821">
        <f t="shared" si="216"/>
        <v>750.75</v>
      </c>
      <c r="Q158" s="831"/>
      <c r="R158" s="821">
        <f t="shared" si="217"/>
        <v>5755.75</v>
      </c>
      <c r="S158" s="821">
        <v>1</v>
      </c>
      <c r="T158" s="821"/>
      <c r="U158" s="831"/>
      <c r="V158" s="831"/>
      <c r="W158" s="831"/>
      <c r="X158" s="770">
        <v>22</v>
      </c>
      <c r="Y158" s="824">
        <v>0.3</v>
      </c>
      <c r="Z158" s="821">
        <f t="shared" si="218"/>
        <v>1726.7249999999999</v>
      </c>
      <c r="AA158" s="821"/>
      <c r="AB158" s="821">
        <f t="shared" si="219"/>
        <v>7482.4750000000004</v>
      </c>
      <c r="AC158" s="825">
        <f t="shared" si="220"/>
        <v>6017.5249999999996</v>
      </c>
      <c r="AD158" s="825">
        <f t="shared" si="221"/>
        <v>13500</v>
      </c>
      <c r="AE158" s="826">
        <f t="shared" si="222"/>
        <v>13500</v>
      </c>
      <c r="AF158" s="826">
        <f t="shared" si="223"/>
        <v>6017.5249999999996</v>
      </c>
      <c r="AG158" s="827">
        <f t="shared" si="224"/>
        <v>6700</v>
      </c>
      <c r="AH158" s="826"/>
      <c r="AI158" s="828">
        <f t="shared" si="225"/>
        <v>5005</v>
      </c>
      <c r="AJ158" s="828">
        <f t="shared" si="226"/>
        <v>0</v>
      </c>
      <c r="AK158" s="828">
        <f t="shared" si="227"/>
        <v>5755.75</v>
      </c>
      <c r="AL158" s="828">
        <f t="shared" si="228"/>
        <v>0</v>
      </c>
      <c r="AM158" s="828">
        <f t="shared" si="229"/>
        <v>750.75</v>
      </c>
      <c r="AN158" s="828">
        <f t="shared" si="230"/>
        <v>0</v>
      </c>
      <c r="AO158" s="830">
        <f t="shared" si="231"/>
        <v>1726.7249999999999</v>
      </c>
      <c r="AP158" s="830">
        <f t="shared" si="232"/>
        <v>0</v>
      </c>
      <c r="AQ158" s="830">
        <f t="shared" si="233"/>
        <v>0</v>
      </c>
      <c r="AR158" s="830">
        <f t="shared" si="234"/>
        <v>0</v>
      </c>
      <c r="AS158" s="830">
        <f t="shared" si="235"/>
        <v>0</v>
      </c>
      <c r="AT158" s="835">
        <f t="shared" si="209"/>
        <v>5755.75</v>
      </c>
      <c r="AU158" s="835">
        <f t="shared" si="210"/>
        <v>0</v>
      </c>
      <c r="AV158" s="828"/>
      <c r="AW158" s="944">
        <f t="shared" si="236"/>
        <v>5755.75</v>
      </c>
    </row>
    <row r="159" spans="2:55" s="196" customFormat="1" ht="33">
      <c r="B159" s="770"/>
      <c r="C159" s="819" t="s">
        <v>1306</v>
      </c>
      <c r="D159" s="820" t="s">
        <v>521</v>
      </c>
      <c r="E159" s="770" t="s">
        <v>1360</v>
      </c>
      <c r="F159" s="770">
        <v>6</v>
      </c>
      <c r="G159" s="821">
        <v>4195</v>
      </c>
      <c r="H159" s="821"/>
      <c r="I159" s="821"/>
      <c r="J159" s="824"/>
      <c r="K159" s="824"/>
      <c r="L159" s="824"/>
      <c r="M159" s="821"/>
      <c r="N159" s="821"/>
      <c r="O159" s="824">
        <v>0.15</v>
      </c>
      <c r="P159" s="821">
        <f t="shared" si="216"/>
        <v>629.25</v>
      </c>
      <c r="Q159" s="831"/>
      <c r="R159" s="821">
        <f t="shared" si="217"/>
        <v>4824.25</v>
      </c>
      <c r="S159" s="821">
        <v>1</v>
      </c>
      <c r="T159" s="821"/>
      <c r="U159" s="831"/>
      <c r="V159" s="831"/>
      <c r="W159" s="831"/>
      <c r="X159" s="770">
        <v>15</v>
      </c>
      <c r="Y159" s="824">
        <v>0.2</v>
      </c>
      <c r="Z159" s="821">
        <f t="shared" si="218"/>
        <v>964.85</v>
      </c>
      <c r="AA159" s="821">
        <f>AH159</f>
        <v>910.9</v>
      </c>
      <c r="AB159" s="821">
        <f t="shared" si="219"/>
        <v>6700</v>
      </c>
      <c r="AC159" s="825">
        <f t="shared" si="220"/>
        <v>6800</v>
      </c>
      <c r="AD159" s="825">
        <f t="shared" si="221"/>
        <v>13500</v>
      </c>
      <c r="AE159" s="826">
        <f t="shared" si="222"/>
        <v>13500</v>
      </c>
      <c r="AF159" s="826">
        <f t="shared" si="223"/>
        <v>6800</v>
      </c>
      <c r="AG159" s="827">
        <f t="shared" si="224"/>
        <v>6700</v>
      </c>
      <c r="AH159" s="826">
        <f>AG159-(R159*S159)-Z159</f>
        <v>910.9</v>
      </c>
      <c r="AI159" s="828">
        <f t="shared" si="225"/>
        <v>4195</v>
      </c>
      <c r="AJ159" s="828">
        <f t="shared" si="226"/>
        <v>0</v>
      </c>
      <c r="AK159" s="828">
        <f t="shared" si="227"/>
        <v>4824.25</v>
      </c>
      <c r="AL159" s="828">
        <f t="shared" si="228"/>
        <v>0</v>
      </c>
      <c r="AM159" s="828">
        <f t="shared" si="229"/>
        <v>629.25</v>
      </c>
      <c r="AN159" s="828">
        <f t="shared" si="230"/>
        <v>0</v>
      </c>
      <c r="AO159" s="830">
        <f t="shared" si="231"/>
        <v>964.85</v>
      </c>
      <c r="AP159" s="830">
        <f t="shared" si="232"/>
        <v>0</v>
      </c>
      <c r="AQ159" s="830">
        <f t="shared" si="233"/>
        <v>910.9</v>
      </c>
      <c r="AR159" s="830">
        <f t="shared" si="234"/>
        <v>0</v>
      </c>
      <c r="AS159" s="830">
        <f t="shared" si="235"/>
        <v>0</v>
      </c>
      <c r="AT159" s="835">
        <f t="shared" si="209"/>
        <v>4824.25</v>
      </c>
      <c r="AU159" s="835">
        <f t="shared" si="210"/>
        <v>0</v>
      </c>
      <c r="AV159" s="828"/>
      <c r="AW159" s="944">
        <f t="shared" si="236"/>
        <v>4824.25</v>
      </c>
    </row>
    <row r="160" spans="2:55" s="196" customFormat="1" ht="58.5">
      <c r="B160" s="770"/>
      <c r="C160" s="819" t="s">
        <v>1306</v>
      </c>
      <c r="D160" s="820" t="s">
        <v>578</v>
      </c>
      <c r="E160" s="770" t="s">
        <v>1363</v>
      </c>
      <c r="F160" s="770">
        <v>9</v>
      </c>
      <c r="G160" s="821">
        <v>5005</v>
      </c>
      <c r="H160" s="821"/>
      <c r="I160" s="821"/>
      <c r="J160" s="821"/>
      <c r="K160" s="821"/>
      <c r="L160" s="821"/>
      <c r="M160" s="821"/>
      <c r="N160" s="821"/>
      <c r="O160" s="824">
        <v>0.15</v>
      </c>
      <c r="P160" s="821">
        <f t="shared" si="216"/>
        <v>750.75</v>
      </c>
      <c r="Q160" s="821"/>
      <c r="R160" s="821">
        <f t="shared" si="217"/>
        <v>5755.75</v>
      </c>
      <c r="S160" s="821">
        <v>1</v>
      </c>
      <c r="T160" s="821"/>
      <c r="U160" s="821"/>
      <c r="V160" s="821"/>
      <c r="W160" s="821"/>
      <c r="X160" s="770">
        <v>37</v>
      </c>
      <c r="Y160" s="824">
        <v>0.3</v>
      </c>
      <c r="Z160" s="821">
        <f t="shared" si="218"/>
        <v>1726.7249999999999</v>
      </c>
      <c r="AA160" s="821"/>
      <c r="AB160" s="821">
        <f t="shared" si="219"/>
        <v>7482.4750000000004</v>
      </c>
      <c r="AC160" s="825">
        <f t="shared" si="220"/>
        <v>6017.5249999999996</v>
      </c>
      <c r="AD160" s="825">
        <f t="shared" si="221"/>
        <v>13500</v>
      </c>
      <c r="AE160" s="826">
        <f t="shared" si="222"/>
        <v>13500</v>
      </c>
      <c r="AF160" s="826">
        <f t="shared" si="223"/>
        <v>6017.5249999999996</v>
      </c>
      <c r="AG160" s="827">
        <f t="shared" si="224"/>
        <v>6700</v>
      </c>
      <c r="AH160" s="826"/>
      <c r="AI160" s="828">
        <f t="shared" si="225"/>
        <v>5005</v>
      </c>
      <c r="AJ160" s="828">
        <f t="shared" si="226"/>
        <v>0</v>
      </c>
      <c r="AK160" s="828">
        <f t="shared" si="227"/>
        <v>5755.75</v>
      </c>
      <c r="AL160" s="828">
        <f t="shared" si="228"/>
        <v>0</v>
      </c>
      <c r="AM160" s="828">
        <f t="shared" si="229"/>
        <v>750.75</v>
      </c>
      <c r="AN160" s="828">
        <f t="shared" si="230"/>
        <v>0</v>
      </c>
      <c r="AO160" s="830">
        <f t="shared" si="231"/>
        <v>1726.7249999999999</v>
      </c>
      <c r="AP160" s="830">
        <f t="shared" si="232"/>
        <v>0</v>
      </c>
      <c r="AQ160" s="830">
        <f t="shared" si="233"/>
        <v>0</v>
      </c>
      <c r="AR160" s="830">
        <f t="shared" si="234"/>
        <v>0</v>
      </c>
      <c r="AS160" s="830">
        <f t="shared" si="235"/>
        <v>0</v>
      </c>
      <c r="AT160" s="835">
        <f t="shared" si="209"/>
        <v>5755.75</v>
      </c>
      <c r="AU160" s="835">
        <f t="shared" si="210"/>
        <v>0</v>
      </c>
      <c r="AV160" s="828"/>
      <c r="AW160" s="944">
        <f t="shared" si="236"/>
        <v>5755.75</v>
      </c>
    </row>
    <row r="161" spans="2:55" s="196" customFormat="1" ht="31.5">
      <c r="B161" s="770"/>
      <c r="C161" s="799" t="s">
        <v>504</v>
      </c>
      <c r="D161" s="832"/>
      <c r="E161" s="812"/>
      <c r="F161" s="812"/>
      <c r="G161" s="802">
        <f>SUM(G155:G160)</f>
        <v>28960</v>
      </c>
      <c r="H161" s="875"/>
      <c r="I161" s="802">
        <f>SUM(I155:I160)</f>
        <v>0</v>
      </c>
      <c r="J161" s="875"/>
      <c r="K161" s="802"/>
      <c r="L161" s="802"/>
      <c r="M161" s="875"/>
      <c r="N161" s="802"/>
      <c r="O161" s="875"/>
      <c r="P161" s="802">
        <f>SUM(P155:P160)</f>
        <v>4344</v>
      </c>
      <c r="Q161" s="802">
        <f>SUM(Q155:Q160)</f>
        <v>0</v>
      </c>
      <c r="R161" s="802">
        <f>SUM(R155:R160)</f>
        <v>33304</v>
      </c>
      <c r="S161" s="802">
        <f>SUM(S155:S160)</f>
        <v>6</v>
      </c>
      <c r="T161" s="802">
        <f>SUM(T155:T160)</f>
        <v>0</v>
      </c>
      <c r="U161" s="802"/>
      <c r="V161" s="802"/>
      <c r="W161" s="802"/>
      <c r="X161" s="802"/>
      <c r="Y161" s="802"/>
      <c r="Z161" s="802">
        <f t="shared" ref="Z161:AW161" si="237">SUM(Z155:Z160)</f>
        <v>8963.1</v>
      </c>
      <c r="AA161" s="802">
        <f t="shared" si="237"/>
        <v>1062.7999999999997</v>
      </c>
      <c r="AB161" s="802">
        <f t="shared" si="237"/>
        <v>43329.9</v>
      </c>
      <c r="AC161" s="802">
        <f t="shared" si="237"/>
        <v>37670.1</v>
      </c>
      <c r="AD161" s="802">
        <f t="shared" si="237"/>
        <v>81000</v>
      </c>
      <c r="AE161" s="802">
        <f t="shared" si="237"/>
        <v>81000</v>
      </c>
      <c r="AF161" s="802">
        <f t="shared" si="237"/>
        <v>37670.1</v>
      </c>
      <c r="AG161" s="802">
        <f t="shared" si="237"/>
        <v>40200</v>
      </c>
      <c r="AH161" s="802">
        <f t="shared" si="237"/>
        <v>1062.7999999999997</v>
      </c>
      <c r="AI161" s="802">
        <f t="shared" si="237"/>
        <v>28960</v>
      </c>
      <c r="AJ161" s="802">
        <f t="shared" si="237"/>
        <v>0</v>
      </c>
      <c r="AK161" s="802">
        <f t="shared" si="237"/>
        <v>33304</v>
      </c>
      <c r="AL161" s="802">
        <f t="shared" si="237"/>
        <v>0</v>
      </c>
      <c r="AM161" s="802">
        <f t="shared" si="237"/>
        <v>4344</v>
      </c>
      <c r="AN161" s="802">
        <f t="shared" si="237"/>
        <v>0</v>
      </c>
      <c r="AO161" s="802">
        <f t="shared" si="237"/>
        <v>8963.1</v>
      </c>
      <c r="AP161" s="802">
        <f t="shared" si="237"/>
        <v>0</v>
      </c>
      <c r="AQ161" s="802">
        <f t="shared" si="237"/>
        <v>1062.7999999999997</v>
      </c>
      <c r="AR161" s="802">
        <f t="shared" si="237"/>
        <v>0</v>
      </c>
      <c r="AS161" s="802">
        <f t="shared" si="237"/>
        <v>0</v>
      </c>
      <c r="AT161" s="802">
        <f t="shared" si="237"/>
        <v>33304</v>
      </c>
      <c r="AU161" s="802">
        <f t="shared" si="237"/>
        <v>0</v>
      </c>
      <c r="AV161" s="802">
        <f t="shared" si="237"/>
        <v>0</v>
      </c>
      <c r="AW161" s="802">
        <f t="shared" si="237"/>
        <v>33304</v>
      </c>
    </row>
    <row r="162" spans="2:55" s="196" customFormat="1" ht="33">
      <c r="B162" s="770"/>
      <c r="C162" s="851" t="s">
        <v>802</v>
      </c>
      <c r="D162" s="832"/>
      <c r="E162" s="812"/>
      <c r="F162" s="812"/>
      <c r="G162" s="802"/>
      <c r="H162" s="875"/>
      <c r="I162" s="802"/>
      <c r="J162" s="813"/>
      <c r="K162" s="812"/>
      <c r="L162" s="812"/>
      <c r="M162" s="813"/>
      <c r="N162" s="812"/>
      <c r="O162" s="813"/>
      <c r="P162" s="803"/>
      <c r="Q162" s="812"/>
      <c r="R162" s="802"/>
      <c r="S162" s="802"/>
      <c r="T162" s="802"/>
      <c r="U162" s="802"/>
      <c r="V162" s="802"/>
      <c r="W162" s="802"/>
      <c r="X162" s="802"/>
      <c r="Y162" s="802"/>
      <c r="Z162" s="802"/>
      <c r="AA162" s="802"/>
      <c r="AB162" s="802"/>
      <c r="AC162" s="876"/>
      <c r="AD162" s="876"/>
      <c r="AE162" s="833"/>
      <c r="AF162" s="833"/>
      <c r="AG162" s="818"/>
      <c r="AH162" s="833"/>
      <c r="AI162" s="828"/>
      <c r="AJ162" s="828"/>
      <c r="AK162" s="828"/>
      <c r="AL162" s="828"/>
      <c r="AM162" s="828"/>
      <c r="AN162" s="828"/>
      <c r="AO162" s="830"/>
      <c r="AP162" s="830"/>
      <c r="AQ162" s="830"/>
      <c r="AR162" s="830"/>
      <c r="AS162" s="830"/>
      <c r="AT162" s="835"/>
      <c r="AU162" s="835"/>
      <c r="AV162" s="828"/>
      <c r="AW162" s="944"/>
    </row>
    <row r="163" spans="2:55" s="196" customFormat="1" ht="63">
      <c r="B163" s="770"/>
      <c r="C163" s="819" t="s">
        <v>1444</v>
      </c>
      <c r="D163" s="820"/>
      <c r="E163" s="770" t="s">
        <v>1450</v>
      </c>
      <c r="F163" s="770">
        <v>3</v>
      </c>
      <c r="G163" s="821">
        <v>3414</v>
      </c>
      <c r="H163" s="821"/>
      <c r="I163" s="821"/>
      <c r="J163" s="821"/>
      <c r="K163" s="821"/>
      <c r="L163" s="821"/>
      <c r="M163" s="821"/>
      <c r="N163" s="821"/>
      <c r="O163" s="824">
        <v>0.15</v>
      </c>
      <c r="P163" s="829">
        <f>G163*O163</f>
        <v>512.1</v>
      </c>
      <c r="Q163" s="831"/>
      <c r="R163" s="821">
        <f>G163+I163+K163+L163+N163+P163+Q163</f>
        <v>3926.1</v>
      </c>
      <c r="S163" s="821">
        <v>1</v>
      </c>
      <c r="T163" s="821"/>
      <c r="U163" s="821"/>
      <c r="V163" s="824">
        <v>0.1</v>
      </c>
      <c r="W163" s="821">
        <f>R163*V163</f>
        <v>392.61</v>
      </c>
      <c r="X163" s="770"/>
      <c r="Y163" s="824"/>
      <c r="Z163" s="821"/>
      <c r="AA163" s="821">
        <f>AH163</f>
        <v>2773.9</v>
      </c>
      <c r="AB163" s="821">
        <f>(R163+Z163+U163+W163)*S163+AA163</f>
        <v>7092.6100000000006</v>
      </c>
      <c r="AC163" s="825">
        <f>AF163</f>
        <v>0</v>
      </c>
      <c r="AD163" s="825">
        <f>AB163+AC163</f>
        <v>7092.6100000000006</v>
      </c>
      <c r="AE163" s="826">
        <f>AB163</f>
        <v>7092.6100000000006</v>
      </c>
      <c r="AF163" s="826">
        <f>AE163-AB163</f>
        <v>0</v>
      </c>
      <c r="AG163" s="827">
        <f>6700*S163</f>
        <v>6700</v>
      </c>
      <c r="AH163" s="826">
        <f>AG163-(R163*S163)</f>
        <v>2773.9</v>
      </c>
      <c r="AI163" s="828">
        <f>G163*S163</f>
        <v>3414</v>
      </c>
      <c r="AJ163" s="828">
        <f>G163*T163</f>
        <v>0</v>
      </c>
      <c r="AK163" s="828">
        <f>R163*S163</f>
        <v>3926.1</v>
      </c>
      <c r="AL163" s="828">
        <f>R163*T163</f>
        <v>0</v>
      </c>
      <c r="AM163" s="828">
        <f t="shared" ref="AM163:AN167" si="238">AK163-AI163</f>
        <v>512.09999999999991</v>
      </c>
      <c r="AN163" s="828">
        <f t="shared" si="238"/>
        <v>0</v>
      </c>
      <c r="AO163" s="830">
        <f>Z163*S163</f>
        <v>0</v>
      </c>
      <c r="AP163" s="830">
        <f>Z163*T163</f>
        <v>0</v>
      </c>
      <c r="AQ163" s="830">
        <f>AA163</f>
        <v>2773.9</v>
      </c>
      <c r="AR163" s="830">
        <f>W163*S163</f>
        <v>392.61</v>
      </c>
      <c r="AS163" s="830">
        <f>W163*T163</f>
        <v>0</v>
      </c>
      <c r="AT163" s="835">
        <f t="shared" si="209"/>
        <v>3926.1</v>
      </c>
      <c r="AU163" s="835">
        <f t="shared" si="210"/>
        <v>0</v>
      </c>
      <c r="AV163" s="828"/>
      <c r="AW163" s="944">
        <f>AT163+AU163-AV163</f>
        <v>3926.1</v>
      </c>
      <c r="AX163" s="198"/>
    </row>
    <row r="164" spans="2:55" s="196" customFormat="1" ht="63">
      <c r="B164" s="770"/>
      <c r="C164" s="819" t="s">
        <v>1444</v>
      </c>
      <c r="D164" s="820"/>
      <c r="E164" s="770" t="s">
        <v>1451</v>
      </c>
      <c r="F164" s="770">
        <v>3</v>
      </c>
      <c r="G164" s="821">
        <v>3414</v>
      </c>
      <c r="H164" s="821"/>
      <c r="I164" s="821"/>
      <c r="J164" s="824"/>
      <c r="K164" s="824"/>
      <c r="L164" s="824"/>
      <c r="M164" s="821"/>
      <c r="N164" s="821"/>
      <c r="O164" s="824">
        <v>0.15</v>
      </c>
      <c r="P164" s="829">
        <f>G164*O164</f>
        <v>512.1</v>
      </c>
      <c r="Q164" s="831"/>
      <c r="R164" s="821">
        <f>G164+I164+K164+L164+N164+P164+Q164</f>
        <v>3926.1</v>
      </c>
      <c r="S164" s="821">
        <v>1</v>
      </c>
      <c r="T164" s="821"/>
      <c r="U164" s="821"/>
      <c r="V164" s="824">
        <v>0.1</v>
      </c>
      <c r="W164" s="821">
        <f>R164*V164</f>
        <v>392.61</v>
      </c>
      <c r="X164" s="770"/>
      <c r="Y164" s="824"/>
      <c r="Z164" s="821"/>
      <c r="AA164" s="821">
        <f>AH164</f>
        <v>2773.9</v>
      </c>
      <c r="AB164" s="821">
        <f>(R164+Z164+U164+W164)*S164+AA164</f>
        <v>7092.6100000000006</v>
      </c>
      <c r="AC164" s="825">
        <f>AF164</f>
        <v>0</v>
      </c>
      <c r="AD164" s="825">
        <f>AB164+AC164</f>
        <v>7092.6100000000006</v>
      </c>
      <c r="AE164" s="826">
        <f>AB164</f>
        <v>7092.6100000000006</v>
      </c>
      <c r="AF164" s="826">
        <f>AE164-AB164</f>
        <v>0</v>
      </c>
      <c r="AG164" s="827">
        <f>6700*S164</f>
        <v>6700</v>
      </c>
      <c r="AH164" s="826">
        <f>AG164-(R164*S164)</f>
        <v>2773.9</v>
      </c>
      <c r="AI164" s="828">
        <f>G164*S164</f>
        <v>3414</v>
      </c>
      <c r="AJ164" s="828">
        <f>G164*T164</f>
        <v>0</v>
      </c>
      <c r="AK164" s="828">
        <f>R164*S164</f>
        <v>3926.1</v>
      </c>
      <c r="AL164" s="828">
        <f>R164*T164</f>
        <v>0</v>
      </c>
      <c r="AM164" s="828">
        <f t="shared" si="238"/>
        <v>512.09999999999991</v>
      </c>
      <c r="AN164" s="828">
        <f t="shared" si="238"/>
        <v>0</v>
      </c>
      <c r="AO164" s="830">
        <f>Z164*S164</f>
        <v>0</v>
      </c>
      <c r="AP164" s="830">
        <f>Z164*T164</f>
        <v>0</v>
      </c>
      <c r="AQ164" s="830">
        <f>AA164</f>
        <v>2773.9</v>
      </c>
      <c r="AR164" s="830">
        <f>W164*S164</f>
        <v>392.61</v>
      </c>
      <c r="AS164" s="830">
        <f>W164*T164</f>
        <v>0</v>
      </c>
      <c r="AT164" s="835">
        <f t="shared" si="209"/>
        <v>3926.1</v>
      </c>
      <c r="AU164" s="835">
        <f t="shared" si="210"/>
        <v>0</v>
      </c>
      <c r="AV164" s="828"/>
      <c r="AW164" s="944">
        <f>AT164+AU164-AV164</f>
        <v>3926.1</v>
      </c>
      <c r="AX164" s="199"/>
    </row>
    <row r="165" spans="2:55" s="196" customFormat="1" ht="63">
      <c r="B165" s="770"/>
      <c r="C165" s="819" t="s">
        <v>1444</v>
      </c>
      <c r="D165" s="820"/>
      <c r="E165" s="770" t="s">
        <v>1452</v>
      </c>
      <c r="F165" s="770">
        <v>3</v>
      </c>
      <c r="G165" s="821">
        <v>3414</v>
      </c>
      <c r="H165" s="821"/>
      <c r="I165" s="821"/>
      <c r="J165" s="824"/>
      <c r="K165" s="824"/>
      <c r="L165" s="824"/>
      <c r="M165" s="821"/>
      <c r="N165" s="821"/>
      <c r="O165" s="824">
        <v>0.15</v>
      </c>
      <c r="P165" s="829">
        <f>G165*O165</f>
        <v>512.1</v>
      </c>
      <c r="Q165" s="831"/>
      <c r="R165" s="821">
        <f>G165+I165+K165+L165+N165+P165+Q165</f>
        <v>3926.1</v>
      </c>
      <c r="S165" s="821">
        <v>1</v>
      </c>
      <c r="T165" s="821"/>
      <c r="U165" s="821"/>
      <c r="V165" s="824">
        <v>0.1</v>
      </c>
      <c r="W165" s="821">
        <f>R165*V165</f>
        <v>392.61</v>
      </c>
      <c r="X165" s="770"/>
      <c r="Y165" s="824"/>
      <c r="Z165" s="821"/>
      <c r="AA165" s="821">
        <f>AH165</f>
        <v>2773.9</v>
      </c>
      <c r="AB165" s="821">
        <f>(R165+Z165+U165+W165)*S165+AA165</f>
        <v>7092.6100000000006</v>
      </c>
      <c r="AC165" s="825">
        <f>AF165</f>
        <v>0</v>
      </c>
      <c r="AD165" s="825">
        <f>AB165+AC165</f>
        <v>7092.6100000000006</v>
      </c>
      <c r="AE165" s="826">
        <f>AB165</f>
        <v>7092.6100000000006</v>
      </c>
      <c r="AF165" s="826">
        <f>AE165-AB165</f>
        <v>0</v>
      </c>
      <c r="AG165" s="827">
        <f>6700*S165</f>
        <v>6700</v>
      </c>
      <c r="AH165" s="826">
        <f>AG165-(R165*S165)</f>
        <v>2773.9</v>
      </c>
      <c r="AI165" s="828">
        <f>G165*S165</f>
        <v>3414</v>
      </c>
      <c r="AJ165" s="828">
        <f>G165*T165</f>
        <v>0</v>
      </c>
      <c r="AK165" s="828">
        <f>R165*S165</f>
        <v>3926.1</v>
      </c>
      <c r="AL165" s="828">
        <f>R165*T165</f>
        <v>0</v>
      </c>
      <c r="AM165" s="828">
        <f t="shared" si="238"/>
        <v>512.09999999999991</v>
      </c>
      <c r="AN165" s="828">
        <f t="shared" si="238"/>
        <v>0</v>
      </c>
      <c r="AO165" s="830">
        <f>Z165*S165</f>
        <v>0</v>
      </c>
      <c r="AP165" s="830">
        <f>Z165*T165</f>
        <v>0</v>
      </c>
      <c r="AQ165" s="830">
        <f>AA165</f>
        <v>2773.9</v>
      </c>
      <c r="AR165" s="830">
        <f>W165*S165</f>
        <v>392.61</v>
      </c>
      <c r="AS165" s="830">
        <f>W165*T165</f>
        <v>0</v>
      </c>
      <c r="AT165" s="835">
        <f t="shared" si="209"/>
        <v>3926.1</v>
      </c>
      <c r="AU165" s="835">
        <f t="shared" si="210"/>
        <v>0</v>
      </c>
      <c r="AV165" s="828"/>
      <c r="AW165" s="944">
        <f>AT165+AU165-AV165</f>
        <v>3926.1</v>
      </c>
    </row>
    <row r="166" spans="2:55" s="196" customFormat="1" ht="63">
      <c r="B166" s="770"/>
      <c r="C166" s="819" t="s">
        <v>1444</v>
      </c>
      <c r="D166" s="820"/>
      <c r="E166" s="770" t="s">
        <v>1456</v>
      </c>
      <c r="F166" s="770">
        <v>3</v>
      </c>
      <c r="G166" s="821">
        <v>3414</v>
      </c>
      <c r="H166" s="821"/>
      <c r="I166" s="821"/>
      <c r="J166" s="824"/>
      <c r="K166" s="824"/>
      <c r="L166" s="824"/>
      <c r="M166" s="821"/>
      <c r="N166" s="821"/>
      <c r="O166" s="824">
        <v>0.15</v>
      </c>
      <c r="P166" s="829">
        <f>G166*O166</f>
        <v>512.1</v>
      </c>
      <c r="Q166" s="831"/>
      <c r="R166" s="821">
        <f>G166+I166+K166+L166+N166+P166+Q166</f>
        <v>3926.1</v>
      </c>
      <c r="S166" s="821">
        <v>1</v>
      </c>
      <c r="T166" s="821"/>
      <c r="U166" s="821"/>
      <c r="V166" s="824">
        <v>0.1</v>
      </c>
      <c r="W166" s="821">
        <f>R166*V166</f>
        <v>392.61</v>
      </c>
      <c r="X166" s="770"/>
      <c r="Y166" s="824"/>
      <c r="Z166" s="821"/>
      <c r="AA166" s="821">
        <f>AH166</f>
        <v>2773.9</v>
      </c>
      <c r="AB166" s="821">
        <f>(R166+Z166+U166+W166)*S166+AA166</f>
        <v>7092.6100000000006</v>
      </c>
      <c r="AC166" s="825">
        <f>AF166</f>
        <v>0</v>
      </c>
      <c r="AD166" s="825">
        <f>AB166+AC166</f>
        <v>7092.6100000000006</v>
      </c>
      <c r="AE166" s="826">
        <f>AB166</f>
        <v>7092.6100000000006</v>
      </c>
      <c r="AF166" s="826">
        <f>AE166-AB166</f>
        <v>0</v>
      </c>
      <c r="AG166" s="827">
        <f>6700*S166</f>
        <v>6700</v>
      </c>
      <c r="AH166" s="826">
        <f>AG166-(R166*S166)</f>
        <v>2773.9</v>
      </c>
      <c r="AI166" s="828">
        <f>G166*S166</f>
        <v>3414</v>
      </c>
      <c r="AJ166" s="828">
        <f>G166*T166</f>
        <v>0</v>
      </c>
      <c r="AK166" s="828">
        <f>R166*S166</f>
        <v>3926.1</v>
      </c>
      <c r="AL166" s="828">
        <f>R166*T166</f>
        <v>0</v>
      </c>
      <c r="AM166" s="828">
        <f t="shared" si="238"/>
        <v>512.09999999999991</v>
      </c>
      <c r="AN166" s="828">
        <f t="shared" si="238"/>
        <v>0</v>
      </c>
      <c r="AO166" s="830">
        <f>Z166*S166</f>
        <v>0</v>
      </c>
      <c r="AP166" s="830">
        <f>Z166*T166</f>
        <v>0</v>
      </c>
      <c r="AQ166" s="830">
        <f>AA166</f>
        <v>2773.9</v>
      </c>
      <c r="AR166" s="830">
        <f>W166*S166</f>
        <v>392.61</v>
      </c>
      <c r="AS166" s="830">
        <f>W166*T166</f>
        <v>0</v>
      </c>
      <c r="AT166" s="835">
        <f t="shared" si="209"/>
        <v>3926.1</v>
      </c>
      <c r="AU166" s="835">
        <f t="shared" si="210"/>
        <v>0</v>
      </c>
      <c r="AV166" s="828"/>
      <c r="AW166" s="944">
        <f>AT166+AU166-AV166</f>
        <v>3926.1</v>
      </c>
    </row>
    <row r="167" spans="2:55" s="196" customFormat="1" ht="63">
      <c r="B167" s="770"/>
      <c r="C167" s="819" t="s">
        <v>1444</v>
      </c>
      <c r="D167" s="820"/>
      <c r="E167" s="770" t="s">
        <v>1457</v>
      </c>
      <c r="F167" s="770">
        <v>3</v>
      </c>
      <c r="G167" s="821">
        <v>3414</v>
      </c>
      <c r="H167" s="821"/>
      <c r="I167" s="821"/>
      <c r="J167" s="824"/>
      <c r="K167" s="824"/>
      <c r="L167" s="824"/>
      <c r="M167" s="821"/>
      <c r="N167" s="821"/>
      <c r="O167" s="824">
        <v>0.15</v>
      </c>
      <c r="P167" s="829">
        <f>G167*O167</f>
        <v>512.1</v>
      </c>
      <c r="Q167" s="831"/>
      <c r="R167" s="821">
        <f>G167+I167+K167+L167+N167+P167+Q167</f>
        <v>3926.1</v>
      </c>
      <c r="S167" s="821">
        <v>1</v>
      </c>
      <c r="T167" s="821"/>
      <c r="U167" s="821"/>
      <c r="V167" s="824">
        <v>0.1</v>
      </c>
      <c r="W167" s="821">
        <f>R167*V167</f>
        <v>392.61</v>
      </c>
      <c r="X167" s="770"/>
      <c r="Y167" s="824"/>
      <c r="Z167" s="821"/>
      <c r="AA167" s="821">
        <f>AH167</f>
        <v>2773.9</v>
      </c>
      <c r="AB167" s="821">
        <f>(R167+Z167+U167+W167)*S167+AA167</f>
        <v>7092.6100000000006</v>
      </c>
      <c r="AC167" s="825">
        <f>AF167</f>
        <v>0</v>
      </c>
      <c r="AD167" s="825">
        <f>AB167+AC167</f>
        <v>7092.6100000000006</v>
      </c>
      <c r="AE167" s="826">
        <f>AB167</f>
        <v>7092.6100000000006</v>
      </c>
      <c r="AF167" s="826">
        <f>AE167-AB167</f>
        <v>0</v>
      </c>
      <c r="AG167" s="827">
        <f>6700*S167</f>
        <v>6700</v>
      </c>
      <c r="AH167" s="826">
        <f>AG167-(R167*S167)</f>
        <v>2773.9</v>
      </c>
      <c r="AI167" s="828">
        <f>G167*S167</f>
        <v>3414</v>
      </c>
      <c r="AJ167" s="828">
        <f>G167*T167</f>
        <v>0</v>
      </c>
      <c r="AK167" s="828">
        <f>R167*S167</f>
        <v>3926.1</v>
      </c>
      <c r="AL167" s="828">
        <f>R167*T167</f>
        <v>0</v>
      </c>
      <c r="AM167" s="828">
        <f t="shared" si="238"/>
        <v>512.09999999999991</v>
      </c>
      <c r="AN167" s="828">
        <f t="shared" si="238"/>
        <v>0</v>
      </c>
      <c r="AO167" s="830">
        <f>Z167*S167</f>
        <v>0</v>
      </c>
      <c r="AP167" s="830">
        <f>Z167*T167</f>
        <v>0</v>
      </c>
      <c r="AQ167" s="830">
        <f>AA167</f>
        <v>2773.9</v>
      </c>
      <c r="AR167" s="830">
        <f>W167*S167</f>
        <v>392.61</v>
      </c>
      <c r="AS167" s="830">
        <f>W167*T167</f>
        <v>0</v>
      </c>
      <c r="AT167" s="835">
        <f t="shared" si="209"/>
        <v>3926.1</v>
      </c>
      <c r="AU167" s="835">
        <f t="shared" si="210"/>
        <v>0</v>
      </c>
      <c r="AV167" s="828"/>
      <c r="AW167" s="944">
        <f>AT167+AU167-AV167</f>
        <v>3926.1</v>
      </c>
    </row>
    <row r="168" spans="2:55" s="196" customFormat="1" ht="31.5">
      <c r="B168" s="770"/>
      <c r="C168" s="799" t="s">
        <v>504</v>
      </c>
      <c r="D168" s="832"/>
      <c r="E168" s="812"/>
      <c r="F168" s="812"/>
      <c r="G168" s="802">
        <f>SUM(G163:G167)</f>
        <v>17070</v>
      </c>
      <c r="H168" s="813"/>
      <c r="I168" s="812"/>
      <c r="J168" s="813"/>
      <c r="K168" s="812"/>
      <c r="L168" s="812"/>
      <c r="M168" s="813"/>
      <c r="N168" s="812"/>
      <c r="O168" s="813"/>
      <c r="P168" s="803">
        <f>SUM(P163:P167)</f>
        <v>2560.5</v>
      </c>
      <c r="Q168" s="802"/>
      <c r="R168" s="802">
        <f>SUM(R163:R167)</f>
        <v>19630.5</v>
      </c>
      <c r="S168" s="802">
        <f>SUM(S163:S167)</f>
        <v>5</v>
      </c>
      <c r="T168" s="802">
        <f>SUM(T163:T167)</f>
        <v>0</v>
      </c>
      <c r="U168" s="802">
        <f>SUM(U163:U167)</f>
        <v>0</v>
      </c>
      <c r="V168" s="802"/>
      <c r="W168" s="802">
        <f>SUM(W163:W167)</f>
        <v>1963.0500000000002</v>
      </c>
      <c r="X168" s="802"/>
      <c r="Y168" s="802"/>
      <c r="Z168" s="802">
        <f>SUM(Z163:Z167)</f>
        <v>0</v>
      </c>
      <c r="AA168" s="802">
        <f>SUM(AA163:AA167)</f>
        <v>13869.5</v>
      </c>
      <c r="AB168" s="802">
        <f>SUM(AB163:AB167)</f>
        <v>35463.050000000003</v>
      </c>
      <c r="AC168" s="802">
        <f t="shared" ref="AC168:AW168" si="239">SUM(AC163:AC167)</f>
        <v>0</v>
      </c>
      <c r="AD168" s="802">
        <f t="shared" si="239"/>
        <v>35463.050000000003</v>
      </c>
      <c r="AE168" s="802">
        <f t="shared" si="239"/>
        <v>35463.050000000003</v>
      </c>
      <c r="AF168" s="802">
        <f t="shared" si="239"/>
        <v>0</v>
      </c>
      <c r="AG168" s="802">
        <f t="shared" si="239"/>
        <v>33500</v>
      </c>
      <c r="AH168" s="802">
        <f t="shared" si="239"/>
        <v>13869.5</v>
      </c>
      <c r="AI168" s="802">
        <f t="shared" si="239"/>
        <v>17070</v>
      </c>
      <c r="AJ168" s="802">
        <f t="shared" si="239"/>
        <v>0</v>
      </c>
      <c r="AK168" s="802">
        <f t="shared" si="239"/>
        <v>19630.5</v>
      </c>
      <c r="AL168" s="802">
        <f t="shared" si="239"/>
        <v>0</v>
      </c>
      <c r="AM168" s="802">
        <f t="shared" si="239"/>
        <v>2560.4999999999995</v>
      </c>
      <c r="AN168" s="802">
        <f t="shared" si="239"/>
        <v>0</v>
      </c>
      <c r="AO168" s="802">
        <f t="shared" si="239"/>
        <v>0</v>
      </c>
      <c r="AP168" s="802">
        <f t="shared" si="239"/>
        <v>0</v>
      </c>
      <c r="AQ168" s="802">
        <f t="shared" si="239"/>
        <v>13869.5</v>
      </c>
      <c r="AR168" s="802">
        <f t="shared" si="239"/>
        <v>1963.0500000000002</v>
      </c>
      <c r="AS168" s="802">
        <f t="shared" si="239"/>
        <v>0</v>
      </c>
      <c r="AT168" s="802">
        <f t="shared" si="239"/>
        <v>19630.5</v>
      </c>
      <c r="AU168" s="802">
        <f t="shared" si="239"/>
        <v>0</v>
      </c>
      <c r="AV168" s="802">
        <f t="shared" si="239"/>
        <v>0</v>
      </c>
      <c r="AW168" s="802">
        <f t="shared" si="239"/>
        <v>19630.5</v>
      </c>
    </row>
    <row r="169" spans="2:55" s="196" customFormat="1" ht="31.5">
      <c r="B169" s="770"/>
      <c r="C169" s="799" t="s">
        <v>1547</v>
      </c>
      <c r="D169" s="832"/>
      <c r="E169" s="813"/>
      <c r="F169" s="812"/>
      <c r="G169" s="804">
        <f>G153+G161+G168</f>
        <v>52597</v>
      </c>
      <c r="H169" s="804"/>
      <c r="I169" s="804"/>
      <c r="J169" s="804"/>
      <c r="K169" s="804"/>
      <c r="L169" s="804"/>
      <c r="M169" s="804"/>
      <c r="N169" s="804"/>
      <c r="O169" s="804"/>
      <c r="P169" s="804">
        <f t="shared" ref="P169:AB169" si="240">P153+P161+P168</f>
        <v>7889.55</v>
      </c>
      <c r="Q169" s="804"/>
      <c r="R169" s="804">
        <f t="shared" si="240"/>
        <v>60486.55</v>
      </c>
      <c r="S169" s="802">
        <f t="shared" si="240"/>
        <v>12</v>
      </c>
      <c r="T169" s="802">
        <f t="shared" si="240"/>
        <v>0</v>
      </c>
      <c r="U169" s="804"/>
      <c r="V169" s="804"/>
      <c r="W169" s="804">
        <f t="shared" si="240"/>
        <v>1963.0500000000002</v>
      </c>
      <c r="X169" s="804"/>
      <c r="Y169" s="804"/>
      <c r="Z169" s="804">
        <f t="shared" si="240"/>
        <v>11228.715</v>
      </c>
      <c r="AA169" s="804">
        <f t="shared" si="240"/>
        <v>14932.3</v>
      </c>
      <c r="AB169" s="804">
        <f t="shared" si="240"/>
        <v>88610.615000000005</v>
      </c>
      <c r="AC169" s="804">
        <f t="shared" ref="AC169:AW169" si="241">AC153+AC161+AC168</f>
        <v>47852.434999999998</v>
      </c>
      <c r="AD169" s="804">
        <f t="shared" si="241"/>
        <v>136463.04999999999</v>
      </c>
      <c r="AE169" s="804">
        <f t="shared" si="241"/>
        <v>136463.04999999999</v>
      </c>
      <c r="AF169" s="804">
        <f t="shared" si="241"/>
        <v>47852.434999999998</v>
      </c>
      <c r="AG169" s="804">
        <f t="shared" si="241"/>
        <v>80400</v>
      </c>
      <c r="AH169" s="804">
        <f t="shared" si="241"/>
        <v>18049.965</v>
      </c>
      <c r="AI169" s="804">
        <f t="shared" si="241"/>
        <v>52597</v>
      </c>
      <c r="AJ169" s="804">
        <f t="shared" si="241"/>
        <v>0</v>
      </c>
      <c r="AK169" s="804">
        <f t="shared" si="241"/>
        <v>60486.55</v>
      </c>
      <c r="AL169" s="804">
        <f t="shared" si="241"/>
        <v>0</v>
      </c>
      <c r="AM169" s="804">
        <f t="shared" si="241"/>
        <v>7889.5499999999993</v>
      </c>
      <c r="AN169" s="804">
        <f t="shared" si="241"/>
        <v>0</v>
      </c>
      <c r="AO169" s="804">
        <f t="shared" si="241"/>
        <v>11228.715</v>
      </c>
      <c r="AP169" s="804">
        <f t="shared" si="241"/>
        <v>0</v>
      </c>
      <c r="AQ169" s="804">
        <f t="shared" si="241"/>
        <v>14932.3</v>
      </c>
      <c r="AR169" s="804">
        <f t="shared" si="241"/>
        <v>1963.0500000000002</v>
      </c>
      <c r="AS169" s="804">
        <f t="shared" si="241"/>
        <v>0</v>
      </c>
      <c r="AT169" s="804">
        <f t="shared" si="241"/>
        <v>60486.55</v>
      </c>
      <c r="AU169" s="804">
        <f t="shared" si="241"/>
        <v>0</v>
      </c>
      <c r="AV169" s="804">
        <f t="shared" si="241"/>
        <v>0</v>
      </c>
      <c r="AW169" s="804">
        <f t="shared" si="241"/>
        <v>60486.55</v>
      </c>
    </row>
    <row r="170" spans="2:55" s="196" customFormat="1" ht="33">
      <c r="B170" s="770"/>
      <c r="C170" s="810" t="s">
        <v>542</v>
      </c>
      <c r="D170" s="811"/>
      <c r="E170" s="812"/>
      <c r="F170" s="812"/>
      <c r="G170" s="812"/>
      <c r="H170" s="813"/>
      <c r="I170" s="812"/>
      <c r="J170" s="813"/>
      <c r="K170" s="812"/>
      <c r="L170" s="812"/>
      <c r="M170" s="813"/>
      <c r="N170" s="812"/>
      <c r="O170" s="813"/>
      <c r="P170" s="812"/>
      <c r="Q170" s="812"/>
      <c r="R170" s="812"/>
      <c r="S170" s="812"/>
      <c r="T170" s="812"/>
      <c r="U170" s="812"/>
      <c r="V170" s="812"/>
      <c r="W170" s="812"/>
      <c r="X170" s="812"/>
      <c r="Y170" s="812"/>
      <c r="Z170" s="812"/>
      <c r="AA170" s="812"/>
      <c r="AB170" s="812"/>
      <c r="AC170" s="834"/>
      <c r="AD170" s="834"/>
      <c r="AE170" s="815"/>
      <c r="AF170" s="815"/>
      <c r="AG170" s="816"/>
      <c r="AH170" s="815"/>
      <c r="AI170" s="828">
        <f>G170*S170</f>
        <v>0</v>
      </c>
      <c r="AJ170" s="828">
        <f>G170*T170</f>
        <v>0</v>
      </c>
      <c r="AK170" s="828">
        <f>R170*S170</f>
        <v>0</v>
      </c>
      <c r="AL170" s="828">
        <f>R170*T170</f>
        <v>0</v>
      </c>
      <c r="AM170" s="828">
        <f t="shared" ref="AM170:AN173" si="242">AK170-AI170</f>
        <v>0</v>
      </c>
      <c r="AN170" s="828">
        <f t="shared" si="242"/>
        <v>0</v>
      </c>
      <c r="AO170" s="830">
        <f>Z170*S170</f>
        <v>0</v>
      </c>
      <c r="AP170" s="830">
        <f>Z170*T170</f>
        <v>0</v>
      </c>
      <c r="AQ170" s="830">
        <f>AA170</f>
        <v>0</v>
      </c>
      <c r="AR170" s="830">
        <f>W170*S170</f>
        <v>0</v>
      </c>
      <c r="AS170" s="830">
        <f>W170*T170</f>
        <v>0</v>
      </c>
      <c r="AT170" s="835"/>
      <c r="AU170" s="835"/>
      <c r="AV170" s="828"/>
      <c r="AW170" s="944"/>
    </row>
    <row r="171" spans="2:55" s="196" customFormat="1" ht="33">
      <c r="B171" s="770"/>
      <c r="C171" s="851" t="s">
        <v>1720</v>
      </c>
      <c r="D171" s="845"/>
      <c r="E171" s="846"/>
      <c r="F171" s="846"/>
      <c r="G171" s="846"/>
      <c r="H171" s="847"/>
      <c r="I171" s="846"/>
      <c r="J171" s="847"/>
      <c r="K171" s="846"/>
      <c r="L171" s="846"/>
      <c r="M171" s="847"/>
      <c r="N171" s="846"/>
      <c r="O171" s="847"/>
      <c r="P171" s="846"/>
      <c r="Q171" s="846"/>
      <c r="R171" s="846"/>
      <c r="S171" s="846"/>
      <c r="T171" s="846"/>
      <c r="U171" s="846"/>
      <c r="V171" s="846"/>
      <c r="W171" s="846"/>
      <c r="X171" s="846"/>
      <c r="Y171" s="846"/>
      <c r="Z171" s="846"/>
      <c r="AA171" s="846"/>
      <c r="AB171" s="846"/>
      <c r="AC171" s="848"/>
      <c r="AD171" s="848"/>
      <c r="AE171" s="849"/>
      <c r="AF171" s="849"/>
      <c r="AG171" s="850"/>
      <c r="AH171" s="849"/>
      <c r="AI171" s="828">
        <f>G171*S171</f>
        <v>0</v>
      </c>
      <c r="AJ171" s="828">
        <f>G171*T171</f>
        <v>0</v>
      </c>
      <c r="AK171" s="828">
        <f>R171*S171</f>
        <v>0</v>
      </c>
      <c r="AL171" s="828">
        <f>R171*T171</f>
        <v>0</v>
      </c>
      <c r="AM171" s="828">
        <f t="shared" si="242"/>
        <v>0</v>
      </c>
      <c r="AN171" s="828">
        <f t="shared" si="242"/>
        <v>0</v>
      </c>
      <c r="AO171" s="830">
        <f>Z171*S171</f>
        <v>0</v>
      </c>
      <c r="AP171" s="830">
        <f>Z171*T171</f>
        <v>0</v>
      </c>
      <c r="AQ171" s="830">
        <f>AA171</f>
        <v>0</v>
      </c>
      <c r="AR171" s="830">
        <f>W171*S171</f>
        <v>0</v>
      </c>
      <c r="AS171" s="830">
        <f>W171*T171</f>
        <v>0</v>
      </c>
      <c r="AT171" s="835"/>
      <c r="AU171" s="835"/>
      <c r="AV171" s="828"/>
      <c r="AW171" s="944"/>
      <c r="BC171" s="197"/>
    </row>
    <row r="172" spans="2:55" s="196" customFormat="1" ht="58.5">
      <c r="B172" s="770"/>
      <c r="C172" s="819" t="s">
        <v>543</v>
      </c>
      <c r="D172" s="820" t="s">
        <v>1265</v>
      </c>
      <c r="E172" s="770" t="s">
        <v>1266</v>
      </c>
      <c r="F172" s="770">
        <v>13</v>
      </c>
      <c r="G172" s="821">
        <v>6567</v>
      </c>
      <c r="H172" s="824">
        <v>0.1</v>
      </c>
      <c r="I172" s="770">
        <f>G172*H172</f>
        <v>656.7</v>
      </c>
      <c r="J172" s="770"/>
      <c r="K172" s="770"/>
      <c r="L172" s="770"/>
      <c r="M172" s="770"/>
      <c r="N172" s="812"/>
      <c r="O172" s="770"/>
      <c r="P172" s="770"/>
      <c r="Q172" s="770"/>
      <c r="R172" s="821">
        <f>G172+I172+K172+L172+N172+P172+Q172</f>
        <v>7223.7</v>
      </c>
      <c r="S172" s="821">
        <v>1</v>
      </c>
      <c r="T172" s="821"/>
      <c r="U172" s="821"/>
      <c r="V172" s="821"/>
      <c r="W172" s="821"/>
      <c r="X172" s="770">
        <v>33</v>
      </c>
      <c r="Y172" s="824">
        <v>0.3</v>
      </c>
      <c r="Z172" s="821">
        <f>R172*Y172</f>
        <v>2167.1099999999997</v>
      </c>
      <c r="AA172" s="821"/>
      <c r="AB172" s="821">
        <f>R172+Z172</f>
        <v>9390.81</v>
      </c>
      <c r="AC172" s="825">
        <f>AF172</f>
        <v>10609.19</v>
      </c>
      <c r="AD172" s="825">
        <f>AB172+AC172</f>
        <v>20000</v>
      </c>
      <c r="AE172" s="826">
        <f>20000*S172</f>
        <v>20000</v>
      </c>
      <c r="AF172" s="826">
        <f>AE172-AB172</f>
        <v>10609.19</v>
      </c>
      <c r="AG172" s="827">
        <f>6700*S172</f>
        <v>6700</v>
      </c>
      <c r="AH172" s="826">
        <f>AB172-AG172</f>
        <v>2690.8099999999995</v>
      </c>
      <c r="AI172" s="828">
        <f>G172*S172</f>
        <v>6567</v>
      </c>
      <c r="AJ172" s="828">
        <f>G172*T172</f>
        <v>0</v>
      </c>
      <c r="AK172" s="828">
        <f>R172*S172</f>
        <v>7223.7</v>
      </c>
      <c r="AL172" s="828">
        <f>R172*T172</f>
        <v>0</v>
      </c>
      <c r="AM172" s="828">
        <f t="shared" si="242"/>
        <v>656.69999999999982</v>
      </c>
      <c r="AN172" s="828">
        <f t="shared" si="242"/>
        <v>0</v>
      </c>
      <c r="AO172" s="830">
        <f>Z172*S172</f>
        <v>2167.1099999999997</v>
      </c>
      <c r="AP172" s="830">
        <f>Z172*T172</f>
        <v>0</v>
      </c>
      <c r="AQ172" s="830">
        <f>AA172</f>
        <v>0</v>
      </c>
      <c r="AR172" s="830">
        <f>W172*S172</f>
        <v>0</v>
      </c>
      <c r="AS172" s="830">
        <f>W172*T172</f>
        <v>0</v>
      </c>
      <c r="AT172" s="835">
        <f t="shared" si="209"/>
        <v>7223.7</v>
      </c>
      <c r="AU172" s="835">
        <f t="shared" si="210"/>
        <v>0</v>
      </c>
      <c r="AV172" s="828"/>
      <c r="AW172" s="944">
        <f>AT172+AU172-AV172</f>
        <v>7223.7</v>
      </c>
    </row>
    <row r="173" spans="2:55" s="196" customFormat="1" ht="58.5">
      <c r="B173" s="770"/>
      <c r="C173" s="819" t="s">
        <v>1267</v>
      </c>
      <c r="D173" s="820" t="s">
        <v>1265</v>
      </c>
      <c r="E173" s="770" t="s">
        <v>522</v>
      </c>
      <c r="F173" s="770">
        <v>13</v>
      </c>
      <c r="G173" s="821">
        <v>6567</v>
      </c>
      <c r="H173" s="770"/>
      <c r="I173" s="770"/>
      <c r="J173" s="770"/>
      <c r="K173" s="770"/>
      <c r="L173" s="770"/>
      <c r="M173" s="770"/>
      <c r="N173" s="770"/>
      <c r="O173" s="770"/>
      <c r="P173" s="770"/>
      <c r="Q173" s="770"/>
      <c r="R173" s="821">
        <f>G173+I173+K173+L173+N173+P173+Q173</f>
        <v>6567</v>
      </c>
      <c r="S173" s="821">
        <v>1</v>
      </c>
      <c r="T173" s="821"/>
      <c r="U173" s="770"/>
      <c r="V173" s="770"/>
      <c r="W173" s="770"/>
      <c r="X173" s="770">
        <v>28</v>
      </c>
      <c r="Y173" s="824">
        <v>0.3</v>
      </c>
      <c r="Z173" s="821">
        <f>R173*Y173</f>
        <v>1970.1</v>
      </c>
      <c r="AA173" s="821"/>
      <c r="AB173" s="821">
        <f>(R173+Z173)*S173</f>
        <v>8537.1</v>
      </c>
      <c r="AC173" s="825">
        <f>AF173</f>
        <v>11462.9</v>
      </c>
      <c r="AD173" s="825">
        <f>AB173+AC173</f>
        <v>20000</v>
      </c>
      <c r="AE173" s="826">
        <f>20000*S173</f>
        <v>20000</v>
      </c>
      <c r="AF173" s="826">
        <f>AE173-AB173</f>
        <v>11462.9</v>
      </c>
      <c r="AG173" s="827">
        <f>6700*S173</f>
        <v>6700</v>
      </c>
      <c r="AH173" s="826">
        <f>AB173-AG173</f>
        <v>1837.1000000000004</v>
      </c>
      <c r="AI173" s="828">
        <f>G173*S173</f>
        <v>6567</v>
      </c>
      <c r="AJ173" s="828">
        <f>G173*T173</f>
        <v>0</v>
      </c>
      <c r="AK173" s="828">
        <f>R173*S173</f>
        <v>6567</v>
      </c>
      <c r="AL173" s="828">
        <f>R173*T173</f>
        <v>0</v>
      </c>
      <c r="AM173" s="828">
        <f t="shared" si="242"/>
        <v>0</v>
      </c>
      <c r="AN173" s="828">
        <f t="shared" si="242"/>
        <v>0</v>
      </c>
      <c r="AO173" s="830">
        <f>Z173*S173</f>
        <v>1970.1</v>
      </c>
      <c r="AP173" s="830">
        <f>Z173*T173</f>
        <v>0</v>
      </c>
      <c r="AQ173" s="830">
        <f>AA173</f>
        <v>0</v>
      </c>
      <c r="AR173" s="830">
        <f>W173*S173</f>
        <v>0</v>
      </c>
      <c r="AS173" s="830">
        <f>W173*T173</f>
        <v>0</v>
      </c>
      <c r="AT173" s="835">
        <f t="shared" si="209"/>
        <v>6567</v>
      </c>
      <c r="AU173" s="835">
        <f t="shared" si="210"/>
        <v>0</v>
      </c>
      <c r="AV173" s="828"/>
      <c r="AW173" s="944">
        <f>AT173+AU173-AV173</f>
        <v>6567</v>
      </c>
    </row>
    <row r="174" spans="2:55" s="196" customFormat="1" ht="31.5">
      <c r="B174" s="770"/>
      <c r="C174" s="799" t="s">
        <v>504</v>
      </c>
      <c r="D174" s="832"/>
      <c r="E174" s="812"/>
      <c r="F174" s="812"/>
      <c r="G174" s="802">
        <f>SUM(G172:G173)</f>
        <v>13134</v>
      </c>
      <c r="H174" s="875"/>
      <c r="I174" s="802"/>
      <c r="J174" s="813"/>
      <c r="K174" s="812"/>
      <c r="L174" s="812"/>
      <c r="M174" s="813"/>
      <c r="N174" s="812"/>
      <c r="O174" s="813"/>
      <c r="P174" s="812"/>
      <c r="Q174" s="812"/>
      <c r="R174" s="802">
        <f>SUM(R172:R173)</f>
        <v>13790.7</v>
      </c>
      <c r="S174" s="802">
        <f>SUM(S172:S173)</f>
        <v>2</v>
      </c>
      <c r="T174" s="802">
        <f>SUM(T172:T173)</f>
        <v>0</v>
      </c>
      <c r="U174" s="802"/>
      <c r="V174" s="802"/>
      <c r="W174" s="802"/>
      <c r="X174" s="802"/>
      <c r="Y174" s="802"/>
      <c r="Z174" s="802">
        <f t="shared" ref="Z174:AW174" si="243">SUM(Z172:Z173)</f>
        <v>4137.2099999999991</v>
      </c>
      <c r="AA174" s="802">
        <f t="shared" si="243"/>
        <v>0</v>
      </c>
      <c r="AB174" s="802">
        <f t="shared" si="243"/>
        <v>17927.91</v>
      </c>
      <c r="AC174" s="802">
        <f t="shared" si="243"/>
        <v>22072.09</v>
      </c>
      <c r="AD174" s="802">
        <f t="shared" si="243"/>
        <v>40000</v>
      </c>
      <c r="AE174" s="802">
        <f t="shared" si="243"/>
        <v>40000</v>
      </c>
      <c r="AF174" s="802">
        <f t="shared" si="243"/>
        <v>22072.09</v>
      </c>
      <c r="AG174" s="802">
        <f t="shared" si="243"/>
        <v>13400</v>
      </c>
      <c r="AH174" s="802">
        <f t="shared" si="243"/>
        <v>4527.91</v>
      </c>
      <c r="AI174" s="802">
        <f t="shared" si="243"/>
        <v>13134</v>
      </c>
      <c r="AJ174" s="802">
        <f t="shared" si="243"/>
        <v>0</v>
      </c>
      <c r="AK174" s="802">
        <f t="shared" si="243"/>
        <v>13790.7</v>
      </c>
      <c r="AL174" s="802">
        <f t="shared" si="243"/>
        <v>0</v>
      </c>
      <c r="AM174" s="802">
        <f t="shared" si="243"/>
        <v>656.69999999999982</v>
      </c>
      <c r="AN174" s="802">
        <f t="shared" si="243"/>
        <v>0</v>
      </c>
      <c r="AO174" s="802">
        <f t="shared" si="243"/>
        <v>4137.2099999999991</v>
      </c>
      <c r="AP174" s="802">
        <f t="shared" si="243"/>
        <v>0</v>
      </c>
      <c r="AQ174" s="802">
        <f t="shared" si="243"/>
        <v>0</v>
      </c>
      <c r="AR174" s="802">
        <f t="shared" si="243"/>
        <v>0</v>
      </c>
      <c r="AS174" s="802">
        <f t="shared" si="243"/>
        <v>0</v>
      </c>
      <c r="AT174" s="802">
        <f t="shared" si="243"/>
        <v>13790.7</v>
      </c>
      <c r="AU174" s="802">
        <f t="shared" si="243"/>
        <v>0</v>
      </c>
      <c r="AV174" s="802">
        <f t="shared" si="243"/>
        <v>0</v>
      </c>
      <c r="AW174" s="802">
        <f t="shared" si="243"/>
        <v>13790.7</v>
      </c>
    </row>
    <row r="175" spans="2:55" s="196" customFormat="1" ht="33">
      <c r="B175" s="770"/>
      <c r="C175" s="851" t="s">
        <v>1988</v>
      </c>
      <c r="D175" s="845"/>
      <c r="E175" s="846"/>
      <c r="F175" s="846"/>
      <c r="G175" s="846"/>
      <c r="H175" s="847"/>
      <c r="I175" s="846"/>
      <c r="J175" s="847"/>
      <c r="K175" s="846"/>
      <c r="L175" s="846"/>
      <c r="M175" s="847"/>
      <c r="N175" s="846"/>
      <c r="O175" s="847"/>
      <c r="P175" s="846"/>
      <c r="Q175" s="846"/>
      <c r="R175" s="846"/>
      <c r="S175" s="846"/>
      <c r="T175" s="846"/>
      <c r="U175" s="846"/>
      <c r="V175" s="846"/>
      <c r="W175" s="846"/>
      <c r="X175" s="846"/>
      <c r="Y175" s="846"/>
      <c r="Z175" s="846"/>
      <c r="AA175" s="846"/>
      <c r="AB175" s="846"/>
      <c r="AC175" s="848"/>
      <c r="AD175" s="848"/>
      <c r="AE175" s="849"/>
      <c r="AF175" s="849"/>
      <c r="AG175" s="850"/>
      <c r="AH175" s="849"/>
      <c r="AI175" s="828"/>
      <c r="AJ175" s="828"/>
      <c r="AK175" s="828"/>
      <c r="AL175" s="828"/>
      <c r="AM175" s="828"/>
      <c r="AN175" s="828"/>
      <c r="AO175" s="830"/>
      <c r="AP175" s="830"/>
      <c r="AQ175" s="830"/>
      <c r="AR175" s="830"/>
      <c r="AS175" s="830"/>
      <c r="AT175" s="835"/>
      <c r="AU175" s="835"/>
      <c r="AV175" s="828"/>
      <c r="AW175" s="944"/>
      <c r="BC175" s="197"/>
    </row>
    <row r="176" spans="2:55" s="196" customFormat="1" ht="58.5">
      <c r="B176" s="770"/>
      <c r="C176" s="819" t="s">
        <v>1323</v>
      </c>
      <c r="D176" s="820" t="s">
        <v>1675</v>
      </c>
      <c r="E176" s="770" t="s">
        <v>1364</v>
      </c>
      <c r="F176" s="770">
        <v>8</v>
      </c>
      <c r="G176" s="821">
        <v>4745</v>
      </c>
      <c r="H176" s="824">
        <v>0.1</v>
      </c>
      <c r="I176" s="770">
        <f>G176*H176</f>
        <v>474.5</v>
      </c>
      <c r="J176" s="831"/>
      <c r="K176" s="831"/>
      <c r="L176" s="831"/>
      <c r="M176" s="831"/>
      <c r="N176" s="831"/>
      <c r="O176" s="831"/>
      <c r="P176" s="831"/>
      <c r="Q176" s="831"/>
      <c r="R176" s="821">
        <f t="shared" ref="R176:R182" si="244">G176+I176+K176+L176+N176+P176+Q176</f>
        <v>5219.5</v>
      </c>
      <c r="S176" s="821">
        <v>1</v>
      </c>
      <c r="T176" s="831"/>
      <c r="U176" s="831"/>
      <c r="V176" s="831"/>
      <c r="W176" s="831"/>
      <c r="X176" s="770">
        <v>19</v>
      </c>
      <c r="Y176" s="824">
        <v>0.2</v>
      </c>
      <c r="Z176" s="821">
        <f t="shared" ref="Z176:Z182" si="245">R176*Y176</f>
        <v>1043.9000000000001</v>
      </c>
      <c r="AA176" s="821">
        <f t="shared" ref="AA176:AA182" si="246">AH176</f>
        <v>436.59999999999991</v>
      </c>
      <c r="AB176" s="821">
        <f t="shared" ref="AB176:AB182" si="247">(R176+Z176)*S176+AA176</f>
        <v>6700</v>
      </c>
      <c r="AC176" s="825">
        <f t="shared" ref="AC176:AC182" si="248">AF176</f>
        <v>6800</v>
      </c>
      <c r="AD176" s="825">
        <f t="shared" ref="AD176:AD182" si="249">AB176+AC176</f>
        <v>13500</v>
      </c>
      <c r="AE176" s="826">
        <f t="shared" ref="AE176:AE182" si="250">13500*S176</f>
        <v>13500</v>
      </c>
      <c r="AF176" s="826">
        <f t="shared" ref="AF176:AF182" si="251">AE176-AB176</f>
        <v>6800</v>
      </c>
      <c r="AG176" s="827">
        <f t="shared" ref="AG176:AG182" si="252">6700*S176</f>
        <v>6700</v>
      </c>
      <c r="AH176" s="826">
        <f t="shared" ref="AH176:AH182" si="253">AG176-(R176*S176)-Z176</f>
        <v>436.59999999999991</v>
      </c>
      <c r="AI176" s="828">
        <f t="shared" ref="AI176:AI182" si="254">G176*S176</f>
        <v>4745</v>
      </c>
      <c r="AJ176" s="828">
        <f t="shared" ref="AJ176:AJ182" si="255">G176*T176</f>
        <v>0</v>
      </c>
      <c r="AK176" s="828">
        <f t="shared" ref="AK176:AK182" si="256">R176*S176</f>
        <v>5219.5</v>
      </c>
      <c r="AL176" s="828">
        <f t="shared" ref="AL176:AL182" si="257">R176*T176</f>
        <v>0</v>
      </c>
      <c r="AM176" s="828">
        <f t="shared" ref="AM176:AN182" si="258">AK176-AI176</f>
        <v>474.5</v>
      </c>
      <c r="AN176" s="828">
        <f t="shared" si="258"/>
        <v>0</v>
      </c>
      <c r="AO176" s="830">
        <f t="shared" ref="AO176:AO182" si="259">Z176*S176</f>
        <v>1043.9000000000001</v>
      </c>
      <c r="AP176" s="830">
        <f t="shared" ref="AP176:AP182" si="260">Z176*T176</f>
        <v>0</v>
      </c>
      <c r="AQ176" s="830">
        <f t="shared" ref="AQ176:AQ182" si="261">AA176</f>
        <v>436.59999999999991</v>
      </c>
      <c r="AR176" s="830">
        <f t="shared" ref="AR176:AR182" si="262">W176*S176</f>
        <v>0</v>
      </c>
      <c r="AS176" s="830">
        <f t="shared" ref="AS176:AS182" si="263">W176*T176</f>
        <v>0</v>
      </c>
      <c r="AT176" s="835">
        <f t="shared" si="209"/>
        <v>5219.5</v>
      </c>
      <c r="AU176" s="835">
        <f t="shared" si="210"/>
        <v>0</v>
      </c>
      <c r="AV176" s="828"/>
      <c r="AW176" s="944">
        <f t="shared" ref="AW176:AW182" si="264">AT176+AU176-AV176</f>
        <v>5219.5</v>
      </c>
    </row>
    <row r="177" spans="2:49" s="196" customFormat="1" ht="63">
      <c r="B177" s="770"/>
      <c r="C177" s="819" t="s">
        <v>1347</v>
      </c>
      <c r="D177" s="820" t="s">
        <v>1334</v>
      </c>
      <c r="E177" s="770" t="s">
        <v>1365</v>
      </c>
      <c r="F177" s="770">
        <v>9</v>
      </c>
      <c r="G177" s="821">
        <v>5005</v>
      </c>
      <c r="H177" s="821"/>
      <c r="I177" s="821"/>
      <c r="J177" s="821"/>
      <c r="K177" s="821"/>
      <c r="L177" s="821"/>
      <c r="M177" s="821"/>
      <c r="N177" s="821"/>
      <c r="O177" s="821"/>
      <c r="P177" s="821"/>
      <c r="Q177" s="831"/>
      <c r="R177" s="821">
        <f t="shared" si="244"/>
        <v>5005</v>
      </c>
      <c r="S177" s="821">
        <v>1</v>
      </c>
      <c r="T177" s="821"/>
      <c r="U177" s="831"/>
      <c r="V177" s="831"/>
      <c r="W177" s="831"/>
      <c r="X177" s="770">
        <v>30</v>
      </c>
      <c r="Y177" s="824">
        <v>0.3</v>
      </c>
      <c r="Z177" s="821">
        <f t="shared" si="245"/>
        <v>1501.5</v>
      </c>
      <c r="AA177" s="821">
        <f t="shared" si="246"/>
        <v>193.5</v>
      </c>
      <c r="AB177" s="821">
        <f t="shared" si="247"/>
        <v>6700</v>
      </c>
      <c r="AC177" s="825">
        <f t="shared" si="248"/>
        <v>6800</v>
      </c>
      <c r="AD177" s="825">
        <f t="shared" si="249"/>
        <v>13500</v>
      </c>
      <c r="AE177" s="826">
        <f t="shared" si="250"/>
        <v>13500</v>
      </c>
      <c r="AF177" s="826">
        <f t="shared" si="251"/>
        <v>6800</v>
      </c>
      <c r="AG177" s="827">
        <f t="shared" si="252"/>
        <v>6700</v>
      </c>
      <c r="AH177" s="826">
        <f t="shared" si="253"/>
        <v>193.5</v>
      </c>
      <c r="AI177" s="828">
        <f t="shared" si="254"/>
        <v>5005</v>
      </c>
      <c r="AJ177" s="828">
        <f t="shared" si="255"/>
        <v>0</v>
      </c>
      <c r="AK177" s="828">
        <f t="shared" si="256"/>
        <v>5005</v>
      </c>
      <c r="AL177" s="828">
        <f t="shared" si="257"/>
        <v>0</v>
      </c>
      <c r="AM177" s="828">
        <f t="shared" si="258"/>
        <v>0</v>
      </c>
      <c r="AN177" s="828">
        <f t="shared" si="258"/>
        <v>0</v>
      </c>
      <c r="AO177" s="830">
        <f t="shared" si="259"/>
        <v>1501.5</v>
      </c>
      <c r="AP177" s="830">
        <f t="shared" si="260"/>
        <v>0</v>
      </c>
      <c r="AQ177" s="830">
        <f t="shared" si="261"/>
        <v>193.5</v>
      </c>
      <c r="AR177" s="830">
        <f t="shared" si="262"/>
        <v>0</v>
      </c>
      <c r="AS177" s="830">
        <f t="shared" si="263"/>
        <v>0</v>
      </c>
      <c r="AT177" s="835">
        <f t="shared" si="209"/>
        <v>5005</v>
      </c>
      <c r="AU177" s="835">
        <f t="shared" si="210"/>
        <v>0</v>
      </c>
      <c r="AV177" s="828"/>
      <c r="AW177" s="944">
        <f t="shared" si="264"/>
        <v>5005</v>
      </c>
    </row>
    <row r="178" spans="2:49" s="196" customFormat="1" ht="58.5">
      <c r="B178" s="770"/>
      <c r="C178" s="819" t="s">
        <v>1306</v>
      </c>
      <c r="D178" s="820" t="s">
        <v>1369</v>
      </c>
      <c r="E178" s="770" t="s">
        <v>1370</v>
      </c>
      <c r="F178" s="770">
        <v>8</v>
      </c>
      <c r="G178" s="821">
        <v>4745</v>
      </c>
      <c r="H178" s="821"/>
      <c r="I178" s="821"/>
      <c r="J178" s="821"/>
      <c r="K178" s="821"/>
      <c r="L178" s="821"/>
      <c r="M178" s="821"/>
      <c r="N178" s="821"/>
      <c r="O178" s="821"/>
      <c r="P178" s="821"/>
      <c r="Q178" s="821"/>
      <c r="R178" s="821">
        <f t="shared" si="244"/>
        <v>4745</v>
      </c>
      <c r="S178" s="821">
        <v>1</v>
      </c>
      <c r="T178" s="821"/>
      <c r="U178" s="821"/>
      <c r="V178" s="821"/>
      <c r="W178" s="821"/>
      <c r="X178" s="770">
        <v>13</v>
      </c>
      <c r="Y178" s="824">
        <v>0.2</v>
      </c>
      <c r="Z178" s="821">
        <f t="shared" si="245"/>
        <v>949</v>
      </c>
      <c r="AA178" s="821">
        <f t="shared" si="246"/>
        <v>1006</v>
      </c>
      <c r="AB178" s="821">
        <f t="shared" si="247"/>
        <v>6700</v>
      </c>
      <c r="AC178" s="825">
        <f t="shared" si="248"/>
        <v>6800</v>
      </c>
      <c r="AD178" s="825">
        <f t="shared" si="249"/>
        <v>13500</v>
      </c>
      <c r="AE178" s="826">
        <f t="shared" si="250"/>
        <v>13500</v>
      </c>
      <c r="AF178" s="826">
        <f t="shared" si="251"/>
        <v>6800</v>
      </c>
      <c r="AG178" s="827">
        <f t="shared" si="252"/>
        <v>6700</v>
      </c>
      <c r="AH178" s="826">
        <f t="shared" si="253"/>
        <v>1006</v>
      </c>
      <c r="AI178" s="828">
        <f t="shared" si="254"/>
        <v>4745</v>
      </c>
      <c r="AJ178" s="828">
        <f t="shared" si="255"/>
        <v>0</v>
      </c>
      <c r="AK178" s="828">
        <f t="shared" si="256"/>
        <v>4745</v>
      </c>
      <c r="AL178" s="828">
        <f t="shared" si="257"/>
        <v>0</v>
      </c>
      <c r="AM178" s="828">
        <f t="shared" si="258"/>
        <v>0</v>
      </c>
      <c r="AN178" s="828">
        <f t="shared" si="258"/>
        <v>0</v>
      </c>
      <c r="AO178" s="830">
        <f t="shared" si="259"/>
        <v>949</v>
      </c>
      <c r="AP178" s="830">
        <f t="shared" si="260"/>
        <v>0</v>
      </c>
      <c r="AQ178" s="830">
        <f t="shared" si="261"/>
        <v>1006</v>
      </c>
      <c r="AR178" s="830">
        <f t="shared" si="262"/>
        <v>0</v>
      </c>
      <c r="AS178" s="830">
        <f t="shared" si="263"/>
        <v>0</v>
      </c>
      <c r="AT178" s="835">
        <f t="shared" si="209"/>
        <v>4745</v>
      </c>
      <c r="AU178" s="835">
        <f t="shared" si="210"/>
        <v>0</v>
      </c>
      <c r="AV178" s="828"/>
      <c r="AW178" s="944">
        <f t="shared" si="264"/>
        <v>4745</v>
      </c>
    </row>
    <row r="179" spans="2:49" s="196" customFormat="1" ht="58.5">
      <c r="B179" s="770"/>
      <c r="C179" s="819" t="s">
        <v>1306</v>
      </c>
      <c r="D179" s="820" t="s">
        <v>1371</v>
      </c>
      <c r="E179" s="770" t="s">
        <v>1372</v>
      </c>
      <c r="F179" s="770">
        <v>9</v>
      </c>
      <c r="G179" s="821">
        <v>5005</v>
      </c>
      <c r="H179" s="821"/>
      <c r="I179" s="821"/>
      <c r="J179" s="821"/>
      <c r="K179" s="821"/>
      <c r="L179" s="821"/>
      <c r="M179" s="821"/>
      <c r="N179" s="821"/>
      <c r="O179" s="821"/>
      <c r="P179" s="821"/>
      <c r="Q179" s="821"/>
      <c r="R179" s="821">
        <f t="shared" si="244"/>
        <v>5005</v>
      </c>
      <c r="S179" s="821">
        <v>1</v>
      </c>
      <c r="T179" s="821"/>
      <c r="U179" s="821"/>
      <c r="V179" s="821"/>
      <c r="W179" s="821"/>
      <c r="X179" s="770">
        <v>16</v>
      </c>
      <c r="Y179" s="824">
        <v>0.2</v>
      </c>
      <c r="Z179" s="821">
        <f t="shared" si="245"/>
        <v>1001</v>
      </c>
      <c r="AA179" s="821">
        <f t="shared" si="246"/>
        <v>694</v>
      </c>
      <c r="AB179" s="821">
        <f t="shared" si="247"/>
        <v>6700</v>
      </c>
      <c r="AC179" s="825">
        <f t="shared" si="248"/>
        <v>6800</v>
      </c>
      <c r="AD179" s="825">
        <f t="shared" si="249"/>
        <v>13500</v>
      </c>
      <c r="AE179" s="826">
        <f t="shared" si="250"/>
        <v>13500</v>
      </c>
      <c r="AF179" s="826">
        <f t="shared" si="251"/>
        <v>6800</v>
      </c>
      <c r="AG179" s="827">
        <f t="shared" si="252"/>
        <v>6700</v>
      </c>
      <c r="AH179" s="826">
        <f t="shared" si="253"/>
        <v>694</v>
      </c>
      <c r="AI179" s="828">
        <f t="shared" si="254"/>
        <v>5005</v>
      </c>
      <c r="AJ179" s="828">
        <f t="shared" si="255"/>
        <v>0</v>
      </c>
      <c r="AK179" s="828">
        <f t="shared" si="256"/>
        <v>5005</v>
      </c>
      <c r="AL179" s="828">
        <f t="shared" si="257"/>
        <v>0</v>
      </c>
      <c r="AM179" s="828">
        <f t="shared" si="258"/>
        <v>0</v>
      </c>
      <c r="AN179" s="828">
        <f t="shared" si="258"/>
        <v>0</v>
      </c>
      <c r="AO179" s="830">
        <f t="shared" si="259"/>
        <v>1001</v>
      </c>
      <c r="AP179" s="830">
        <f t="shared" si="260"/>
        <v>0</v>
      </c>
      <c r="AQ179" s="830">
        <f t="shared" si="261"/>
        <v>694</v>
      </c>
      <c r="AR179" s="830">
        <f t="shared" si="262"/>
        <v>0</v>
      </c>
      <c r="AS179" s="830">
        <f t="shared" si="263"/>
        <v>0</v>
      </c>
      <c r="AT179" s="835">
        <f t="shared" si="209"/>
        <v>5005</v>
      </c>
      <c r="AU179" s="835">
        <f t="shared" si="210"/>
        <v>0</v>
      </c>
      <c r="AV179" s="828"/>
      <c r="AW179" s="944">
        <f t="shared" si="264"/>
        <v>5005</v>
      </c>
    </row>
    <row r="180" spans="2:49" s="196" customFormat="1" ht="58.5">
      <c r="B180" s="770"/>
      <c r="C180" s="819" t="s">
        <v>1306</v>
      </c>
      <c r="D180" s="820" t="s">
        <v>579</v>
      </c>
      <c r="E180" s="770" t="s">
        <v>580</v>
      </c>
      <c r="F180" s="770">
        <v>9</v>
      </c>
      <c r="G180" s="821">
        <v>5005</v>
      </c>
      <c r="H180" s="821"/>
      <c r="I180" s="821"/>
      <c r="J180" s="821"/>
      <c r="K180" s="821"/>
      <c r="L180" s="821"/>
      <c r="M180" s="821"/>
      <c r="N180" s="821"/>
      <c r="O180" s="821"/>
      <c r="P180" s="821"/>
      <c r="Q180" s="821"/>
      <c r="R180" s="821">
        <f t="shared" si="244"/>
        <v>5005</v>
      </c>
      <c r="S180" s="821">
        <v>1</v>
      </c>
      <c r="T180" s="821"/>
      <c r="U180" s="821"/>
      <c r="V180" s="821"/>
      <c r="W180" s="821"/>
      <c r="X180" s="770">
        <v>19</v>
      </c>
      <c r="Y180" s="824">
        <v>0.2</v>
      </c>
      <c r="Z180" s="821">
        <f t="shared" si="245"/>
        <v>1001</v>
      </c>
      <c r="AA180" s="821">
        <f t="shared" si="246"/>
        <v>694</v>
      </c>
      <c r="AB180" s="821">
        <f t="shared" si="247"/>
        <v>6700</v>
      </c>
      <c r="AC180" s="825">
        <f t="shared" si="248"/>
        <v>6800</v>
      </c>
      <c r="AD180" s="825">
        <f t="shared" si="249"/>
        <v>13500</v>
      </c>
      <c r="AE180" s="826">
        <f t="shared" si="250"/>
        <v>13500</v>
      </c>
      <c r="AF180" s="826">
        <f t="shared" si="251"/>
        <v>6800</v>
      </c>
      <c r="AG180" s="827">
        <f t="shared" si="252"/>
        <v>6700</v>
      </c>
      <c r="AH180" s="826">
        <f t="shared" si="253"/>
        <v>694</v>
      </c>
      <c r="AI180" s="828">
        <f t="shared" si="254"/>
        <v>5005</v>
      </c>
      <c r="AJ180" s="828">
        <f t="shared" si="255"/>
        <v>0</v>
      </c>
      <c r="AK180" s="828">
        <f t="shared" si="256"/>
        <v>5005</v>
      </c>
      <c r="AL180" s="828">
        <f t="shared" si="257"/>
        <v>0</v>
      </c>
      <c r="AM180" s="828">
        <f t="shared" si="258"/>
        <v>0</v>
      </c>
      <c r="AN180" s="828">
        <f t="shared" si="258"/>
        <v>0</v>
      </c>
      <c r="AO180" s="830">
        <f t="shared" si="259"/>
        <v>1001</v>
      </c>
      <c r="AP180" s="830">
        <f t="shared" si="260"/>
        <v>0</v>
      </c>
      <c r="AQ180" s="830">
        <f t="shared" si="261"/>
        <v>694</v>
      </c>
      <c r="AR180" s="830">
        <f t="shared" si="262"/>
        <v>0</v>
      </c>
      <c r="AS180" s="830">
        <f t="shared" si="263"/>
        <v>0</v>
      </c>
      <c r="AT180" s="835">
        <f t="shared" si="209"/>
        <v>5005</v>
      </c>
      <c r="AU180" s="835">
        <f t="shared" si="210"/>
        <v>0</v>
      </c>
      <c r="AV180" s="828"/>
      <c r="AW180" s="944">
        <f t="shared" si="264"/>
        <v>5005</v>
      </c>
    </row>
    <row r="181" spans="2:49" s="196" customFormat="1" ht="58.5">
      <c r="B181" s="770"/>
      <c r="C181" s="819" t="s">
        <v>1306</v>
      </c>
      <c r="D181" s="820" t="s">
        <v>1374</v>
      </c>
      <c r="E181" s="770" t="s">
        <v>1375</v>
      </c>
      <c r="F181" s="770">
        <v>9</v>
      </c>
      <c r="G181" s="821">
        <v>5005</v>
      </c>
      <c r="H181" s="821"/>
      <c r="I181" s="821"/>
      <c r="J181" s="824"/>
      <c r="K181" s="824"/>
      <c r="L181" s="824"/>
      <c r="M181" s="821"/>
      <c r="N181" s="821"/>
      <c r="O181" s="821"/>
      <c r="P181" s="831"/>
      <c r="Q181" s="831"/>
      <c r="R181" s="821">
        <f t="shared" si="244"/>
        <v>5005</v>
      </c>
      <c r="S181" s="821">
        <v>1</v>
      </c>
      <c r="T181" s="821"/>
      <c r="U181" s="831"/>
      <c r="V181" s="831"/>
      <c r="W181" s="831"/>
      <c r="X181" s="770">
        <v>29</v>
      </c>
      <c r="Y181" s="824">
        <v>0.3</v>
      </c>
      <c r="Z181" s="821">
        <f t="shared" si="245"/>
        <v>1501.5</v>
      </c>
      <c r="AA181" s="821">
        <f t="shared" si="246"/>
        <v>193.5</v>
      </c>
      <c r="AB181" s="821">
        <f t="shared" si="247"/>
        <v>6700</v>
      </c>
      <c r="AC181" s="825">
        <f t="shared" si="248"/>
        <v>6800</v>
      </c>
      <c r="AD181" s="825">
        <f t="shared" si="249"/>
        <v>13500</v>
      </c>
      <c r="AE181" s="826">
        <f t="shared" si="250"/>
        <v>13500</v>
      </c>
      <c r="AF181" s="826">
        <f t="shared" si="251"/>
        <v>6800</v>
      </c>
      <c r="AG181" s="827">
        <f t="shared" si="252"/>
        <v>6700</v>
      </c>
      <c r="AH181" s="826">
        <f t="shared" si="253"/>
        <v>193.5</v>
      </c>
      <c r="AI181" s="828">
        <f t="shared" si="254"/>
        <v>5005</v>
      </c>
      <c r="AJ181" s="828">
        <f t="shared" si="255"/>
        <v>0</v>
      </c>
      <c r="AK181" s="828">
        <f t="shared" si="256"/>
        <v>5005</v>
      </c>
      <c r="AL181" s="828">
        <f t="shared" si="257"/>
        <v>0</v>
      </c>
      <c r="AM181" s="828">
        <f t="shared" si="258"/>
        <v>0</v>
      </c>
      <c r="AN181" s="828">
        <f t="shared" si="258"/>
        <v>0</v>
      </c>
      <c r="AO181" s="830">
        <f t="shared" si="259"/>
        <v>1501.5</v>
      </c>
      <c r="AP181" s="830">
        <f t="shared" si="260"/>
        <v>0</v>
      </c>
      <c r="AQ181" s="830">
        <f t="shared" si="261"/>
        <v>193.5</v>
      </c>
      <c r="AR181" s="830">
        <f t="shared" si="262"/>
        <v>0</v>
      </c>
      <c r="AS181" s="830">
        <f t="shared" si="263"/>
        <v>0</v>
      </c>
      <c r="AT181" s="835">
        <f t="shared" si="209"/>
        <v>5005</v>
      </c>
      <c r="AU181" s="835">
        <f t="shared" si="210"/>
        <v>0</v>
      </c>
      <c r="AV181" s="828"/>
      <c r="AW181" s="944">
        <f t="shared" si="264"/>
        <v>5005</v>
      </c>
    </row>
    <row r="182" spans="2:49" s="196" customFormat="1" ht="58.5">
      <c r="B182" s="770"/>
      <c r="C182" s="819" t="s">
        <v>1306</v>
      </c>
      <c r="D182" s="820" t="s">
        <v>1676</v>
      </c>
      <c r="E182" s="770" t="s">
        <v>1376</v>
      </c>
      <c r="F182" s="770">
        <v>9</v>
      </c>
      <c r="G182" s="821">
        <v>5005</v>
      </c>
      <c r="H182" s="821"/>
      <c r="I182" s="821"/>
      <c r="J182" s="821"/>
      <c r="K182" s="821"/>
      <c r="L182" s="821"/>
      <c r="M182" s="821"/>
      <c r="N182" s="821"/>
      <c r="O182" s="821"/>
      <c r="P182" s="821"/>
      <c r="Q182" s="821"/>
      <c r="R182" s="821">
        <f t="shared" si="244"/>
        <v>5005</v>
      </c>
      <c r="S182" s="821">
        <v>1</v>
      </c>
      <c r="T182" s="821"/>
      <c r="U182" s="821"/>
      <c r="V182" s="821"/>
      <c r="W182" s="821"/>
      <c r="X182" s="770">
        <v>30</v>
      </c>
      <c r="Y182" s="824">
        <v>0.3</v>
      </c>
      <c r="Z182" s="821">
        <f t="shared" si="245"/>
        <v>1501.5</v>
      </c>
      <c r="AA182" s="821">
        <f t="shared" si="246"/>
        <v>193.5</v>
      </c>
      <c r="AB182" s="821">
        <f t="shared" si="247"/>
        <v>6700</v>
      </c>
      <c r="AC182" s="825">
        <f t="shared" si="248"/>
        <v>6800</v>
      </c>
      <c r="AD182" s="825">
        <f t="shared" si="249"/>
        <v>13500</v>
      </c>
      <c r="AE182" s="826">
        <f t="shared" si="250"/>
        <v>13500</v>
      </c>
      <c r="AF182" s="826">
        <f t="shared" si="251"/>
        <v>6800</v>
      </c>
      <c r="AG182" s="827">
        <f t="shared" si="252"/>
        <v>6700</v>
      </c>
      <c r="AH182" s="826">
        <f t="shared" si="253"/>
        <v>193.5</v>
      </c>
      <c r="AI182" s="828">
        <f t="shared" si="254"/>
        <v>5005</v>
      </c>
      <c r="AJ182" s="828">
        <f t="shared" si="255"/>
        <v>0</v>
      </c>
      <c r="AK182" s="828">
        <f t="shared" si="256"/>
        <v>5005</v>
      </c>
      <c r="AL182" s="828">
        <f t="shared" si="257"/>
        <v>0</v>
      </c>
      <c r="AM182" s="828">
        <f t="shared" si="258"/>
        <v>0</v>
      </c>
      <c r="AN182" s="828">
        <f t="shared" si="258"/>
        <v>0</v>
      </c>
      <c r="AO182" s="830">
        <f t="shared" si="259"/>
        <v>1501.5</v>
      </c>
      <c r="AP182" s="830">
        <f t="shared" si="260"/>
        <v>0</v>
      </c>
      <c r="AQ182" s="830">
        <f t="shared" si="261"/>
        <v>193.5</v>
      </c>
      <c r="AR182" s="830">
        <f t="shared" si="262"/>
        <v>0</v>
      </c>
      <c r="AS182" s="830">
        <f t="shared" si="263"/>
        <v>0</v>
      </c>
      <c r="AT182" s="835">
        <f t="shared" si="209"/>
        <v>5005</v>
      </c>
      <c r="AU182" s="835">
        <f t="shared" si="210"/>
        <v>0</v>
      </c>
      <c r="AV182" s="828"/>
      <c r="AW182" s="944">
        <f t="shared" si="264"/>
        <v>5005</v>
      </c>
    </row>
    <row r="183" spans="2:49" s="196" customFormat="1" ht="31.5">
      <c r="B183" s="770"/>
      <c r="C183" s="799" t="s">
        <v>504</v>
      </c>
      <c r="D183" s="832"/>
      <c r="E183" s="812"/>
      <c r="F183" s="812"/>
      <c r="G183" s="802">
        <f>SUM(G176:G182)</f>
        <v>34515</v>
      </c>
      <c r="H183" s="875"/>
      <c r="I183" s="802">
        <f>SUM(I176:I182)</f>
        <v>474.5</v>
      </c>
      <c r="J183" s="813"/>
      <c r="K183" s="812"/>
      <c r="L183" s="812"/>
      <c r="M183" s="813"/>
      <c r="N183" s="812"/>
      <c r="O183" s="813"/>
      <c r="P183" s="812"/>
      <c r="Q183" s="812"/>
      <c r="R183" s="802">
        <f>SUM(R176:R182)</f>
        <v>34989.5</v>
      </c>
      <c r="S183" s="802">
        <f>SUM(S176:S182)</f>
        <v>7</v>
      </c>
      <c r="T183" s="802">
        <f>SUM(T176:T182)</f>
        <v>0</v>
      </c>
      <c r="U183" s="802"/>
      <c r="V183" s="802"/>
      <c r="W183" s="802"/>
      <c r="X183" s="802"/>
      <c r="Y183" s="802"/>
      <c r="Z183" s="802">
        <f t="shared" ref="Z183:AW183" si="265">SUM(Z176:Z182)</f>
        <v>8499.4</v>
      </c>
      <c r="AA183" s="802">
        <f t="shared" si="265"/>
        <v>3411.1</v>
      </c>
      <c r="AB183" s="802">
        <f t="shared" si="265"/>
        <v>46900</v>
      </c>
      <c r="AC183" s="802">
        <f t="shared" si="265"/>
        <v>47600</v>
      </c>
      <c r="AD183" s="802">
        <f t="shared" si="265"/>
        <v>94500</v>
      </c>
      <c r="AE183" s="802">
        <f t="shared" si="265"/>
        <v>94500</v>
      </c>
      <c r="AF183" s="802">
        <f t="shared" si="265"/>
        <v>47600</v>
      </c>
      <c r="AG183" s="802">
        <f t="shared" si="265"/>
        <v>46900</v>
      </c>
      <c r="AH183" s="802">
        <f t="shared" si="265"/>
        <v>3411.1</v>
      </c>
      <c r="AI183" s="802">
        <f t="shared" si="265"/>
        <v>34515</v>
      </c>
      <c r="AJ183" s="802">
        <f t="shared" si="265"/>
        <v>0</v>
      </c>
      <c r="AK183" s="802">
        <f t="shared" si="265"/>
        <v>34989.5</v>
      </c>
      <c r="AL183" s="802">
        <f t="shared" si="265"/>
        <v>0</v>
      </c>
      <c r="AM183" s="802">
        <f t="shared" si="265"/>
        <v>474.5</v>
      </c>
      <c r="AN183" s="802">
        <f t="shared" si="265"/>
        <v>0</v>
      </c>
      <c r="AO183" s="802">
        <f t="shared" si="265"/>
        <v>8499.4</v>
      </c>
      <c r="AP183" s="802">
        <f t="shared" si="265"/>
        <v>0</v>
      </c>
      <c r="AQ183" s="802">
        <f t="shared" si="265"/>
        <v>3411.1</v>
      </c>
      <c r="AR183" s="802">
        <f t="shared" si="265"/>
        <v>0</v>
      </c>
      <c r="AS183" s="802">
        <f t="shared" si="265"/>
        <v>0</v>
      </c>
      <c r="AT183" s="802">
        <f t="shared" si="265"/>
        <v>34989.5</v>
      </c>
      <c r="AU183" s="802">
        <f t="shared" si="265"/>
        <v>0</v>
      </c>
      <c r="AV183" s="802">
        <f t="shared" si="265"/>
        <v>0</v>
      </c>
      <c r="AW183" s="802">
        <f t="shared" si="265"/>
        <v>34989.5</v>
      </c>
    </row>
    <row r="184" spans="2:49" s="196" customFormat="1" ht="33">
      <c r="B184" s="770"/>
      <c r="C184" s="851" t="s">
        <v>802</v>
      </c>
      <c r="D184" s="832"/>
      <c r="E184" s="812"/>
      <c r="F184" s="812"/>
      <c r="G184" s="802"/>
      <c r="H184" s="875"/>
      <c r="I184" s="802"/>
      <c r="J184" s="813"/>
      <c r="K184" s="812"/>
      <c r="L184" s="812"/>
      <c r="M184" s="813"/>
      <c r="N184" s="812"/>
      <c r="O184" s="813"/>
      <c r="P184" s="803"/>
      <c r="Q184" s="812"/>
      <c r="R184" s="802"/>
      <c r="S184" s="802"/>
      <c r="T184" s="802"/>
      <c r="U184" s="802"/>
      <c r="V184" s="802"/>
      <c r="W184" s="802"/>
      <c r="X184" s="802"/>
      <c r="Y184" s="802"/>
      <c r="Z184" s="802"/>
      <c r="AA184" s="802"/>
      <c r="AB184" s="802"/>
      <c r="AC184" s="876"/>
      <c r="AD184" s="876"/>
      <c r="AE184" s="833"/>
      <c r="AF184" s="833"/>
      <c r="AG184" s="818"/>
      <c r="AH184" s="833"/>
      <c r="AI184" s="828"/>
      <c r="AJ184" s="828"/>
      <c r="AK184" s="828"/>
      <c r="AL184" s="828"/>
      <c r="AM184" s="828"/>
      <c r="AN184" s="828"/>
      <c r="AO184" s="830"/>
      <c r="AP184" s="830"/>
      <c r="AQ184" s="830"/>
      <c r="AR184" s="830"/>
      <c r="AS184" s="830"/>
      <c r="AT184" s="835"/>
      <c r="AU184" s="835"/>
      <c r="AV184" s="828"/>
      <c r="AW184" s="944"/>
    </row>
    <row r="185" spans="2:49" s="196" customFormat="1" ht="63">
      <c r="B185" s="770"/>
      <c r="C185" s="819" t="s">
        <v>1444</v>
      </c>
      <c r="D185" s="820"/>
      <c r="E185" s="770" t="s">
        <v>591</v>
      </c>
      <c r="F185" s="770">
        <v>3</v>
      </c>
      <c r="G185" s="821">
        <v>3414</v>
      </c>
      <c r="H185" s="821"/>
      <c r="I185" s="821"/>
      <c r="J185" s="821"/>
      <c r="K185" s="821"/>
      <c r="L185" s="821"/>
      <c r="M185" s="821"/>
      <c r="N185" s="821"/>
      <c r="O185" s="821"/>
      <c r="P185" s="821"/>
      <c r="Q185" s="821"/>
      <c r="R185" s="821">
        <f>G185+I185+K185+L185+N185+P185+Q185</f>
        <v>3414</v>
      </c>
      <c r="S185" s="821">
        <v>1</v>
      </c>
      <c r="T185" s="831"/>
      <c r="U185" s="831"/>
      <c r="V185" s="824">
        <v>0.1</v>
      </c>
      <c r="W185" s="821">
        <f>R185*V185</f>
        <v>341.40000000000003</v>
      </c>
      <c r="X185" s="770"/>
      <c r="Y185" s="824"/>
      <c r="Z185" s="821"/>
      <c r="AA185" s="821">
        <f>AH185</f>
        <v>3286</v>
      </c>
      <c r="AB185" s="821">
        <f>(R185+Z185+U185+W185)*S185+AA185</f>
        <v>7041.4</v>
      </c>
      <c r="AC185" s="825">
        <f>AF185</f>
        <v>0</v>
      </c>
      <c r="AD185" s="825">
        <f>AB185+AC185</f>
        <v>7041.4</v>
      </c>
      <c r="AE185" s="826">
        <f>AB185</f>
        <v>7041.4</v>
      </c>
      <c r="AF185" s="826">
        <f>AE185-AB185</f>
        <v>0</v>
      </c>
      <c r="AG185" s="827">
        <f>6700*S185</f>
        <v>6700</v>
      </c>
      <c r="AH185" s="826">
        <f>AG185-(R185*S185)</f>
        <v>3286</v>
      </c>
      <c r="AI185" s="828">
        <f>G185*S185</f>
        <v>3414</v>
      </c>
      <c r="AJ185" s="828">
        <f>G185*T185</f>
        <v>0</v>
      </c>
      <c r="AK185" s="828">
        <f>R185*S185</f>
        <v>3414</v>
      </c>
      <c r="AL185" s="828">
        <f>R185*T185</f>
        <v>0</v>
      </c>
      <c r="AM185" s="828">
        <f t="shared" ref="AM185:AN189" si="266">AK185-AI185</f>
        <v>0</v>
      </c>
      <c r="AN185" s="828">
        <f t="shared" si="266"/>
        <v>0</v>
      </c>
      <c r="AO185" s="830">
        <f>Z185*S185</f>
        <v>0</v>
      </c>
      <c r="AP185" s="830">
        <f>Z185*T185</f>
        <v>0</v>
      </c>
      <c r="AQ185" s="830">
        <f>AA185</f>
        <v>3286</v>
      </c>
      <c r="AR185" s="830">
        <f>W185*S185</f>
        <v>341.40000000000003</v>
      </c>
      <c r="AS185" s="830">
        <f>W185*T185</f>
        <v>0</v>
      </c>
      <c r="AT185" s="835">
        <f t="shared" si="209"/>
        <v>3414</v>
      </c>
      <c r="AU185" s="835">
        <f t="shared" si="210"/>
        <v>0</v>
      </c>
      <c r="AV185" s="828"/>
      <c r="AW185" s="944">
        <f>AT185+AU185-AV185</f>
        <v>3414</v>
      </c>
    </row>
    <row r="186" spans="2:49" s="196" customFormat="1" ht="63">
      <c r="B186" s="770"/>
      <c r="C186" s="819" t="s">
        <v>1444</v>
      </c>
      <c r="D186" s="820"/>
      <c r="E186" s="770" t="s">
        <v>1459</v>
      </c>
      <c r="F186" s="770">
        <v>3</v>
      </c>
      <c r="G186" s="821">
        <v>3414</v>
      </c>
      <c r="H186" s="821"/>
      <c r="I186" s="821"/>
      <c r="J186" s="821"/>
      <c r="K186" s="821"/>
      <c r="L186" s="821"/>
      <c r="M186" s="821"/>
      <c r="N186" s="821"/>
      <c r="O186" s="821"/>
      <c r="P186" s="821"/>
      <c r="Q186" s="821"/>
      <c r="R186" s="821">
        <f>G186+I186+K186+L186+N186+P186+Q186</f>
        <v>3414</v>
      </c>
      <c r="S186" s="821">
        <v>1</v>
      </c>
      <c r="T186" s="821"/>
      <c r="U186" s="821"/>
      <c r="V186" s="824">
        <v>0.1</v>
      </c>
      <c r="W186" s="821">
        <f>R186*V186</f>
        <v>341.40000000000003</v>
      </c>
      <c r="X186" s="770"/>
      <c r="Y186" s="824"/>
      <c r="Z186" s="821"/>
      <c r="AA186" s="821">
        <f>AH186</f>
        <v>3286</v>
      </c>
      <c r="AB186" s="821">
        <f>(R186+Z186+U186+W186)*S186+AA186</f>
        <v>7041.4</v>
      </c>
      <c r="AC186" s="825">
        <f>AF186</f>
        <v>0</v>
      </c>
      <c r="AD186" s="825">
        <f>AB186+AC186</f>
        <v>7041.4</v>
      </c>
      <c r="AE186" s="826">
        <f>AB186</f>
        <v>7041.4</v>
      </c>
      <c r="AF186" s="826">
        <f>AE186-AB186</f>
        <v>0</v>
      </c>
      <c r="AG186" s="827">
        <f>6700*S186</f>
        <v>6700</v>
      </c>
      <c r="AH186" s="826">
        <f>AG186-(R186*S186)</f>
        <v>3286</v>
      </c>
      <c r="AI186" s="828">
        <f>G186*S186</f>
        <v>3414</v>
      </c>
      <c r="AJ186" s="828">
        <f>G186*T186</f>
        <v>0</v>
      </c>
      <c r="AK186" s="828">
        <f>R186*S186</f>
        <v>3414</v>
      </c>
      <c r="AL186" s="828">
        <f>R186*T186</f>
        <v>0</v>
      </c>
      <c r="AM186" s="828">
        <f t="shared" si="266"/>
        <v>0</v>
      </c>
      <c r="AN186" s="828">
        <f t="shared" si="266"/>
        <v>0</v>
      </c>
      <c r="AO186" s="830">
        <f>Z186*S186</f>
        <v>0</v>
      </c>
      <c r="AP186" s="830">
        <f>Z186*T186</f>
        <v>0</v>
      </c>
      <c r="AQ186" s="830">
        <f>AA186</f>
        <v>3286</v>
      </c>
      <c r="AR186" s="830">
        <f>W186*S186</f>
        <v>341.40000000000003</v>
      </c>
      <c r="AS186" s="830">
        <f>W186*T186</f>
        <v>0</v>
      </c>
      <c r="AT186" s="835">
        <f t="shared" si="209"/>
        <v>3414</v>
      </c>
      <c r="AU186" s="835">
        <f t="shared" si="210"/>
        <v>0</v>
      </c>
      <c r="AV186" s="828"/>
      <c r="AW186" s="944">
        <f>AT186+AU186-AV186</f>
        <v>3414</v>
      </c>
    </row>
    <row r="187" spans="2:49" s="196" customFormat="1" ht="63">
      <c r="B187" s="770"/>
      <c r="C187" s="819" t="s">
        <v>1444</v>
      </c>
      <c r="D187" s="820"/>
      <c r="E187" s="770" t="s">
        <v>592</v>
      </c>
      <c r="F187" s="770">
        <v>3</v>
      </c>
      <c r="G187" s="821">
        <v>3414</v>
      </c>
      <c r="H187" s="821"/>
      <c r="I187" s="821"/>
      <c r="J187" s="821"/>
      <c r="K187" s="821"/>
      <c r="L187" s="821"/>
      <c r="M187" s="821"/>
      <c r="N187" s="821"/>
      <c r="O187" s="821"/>
      <c r="P187" s="821"/>
      <c r="Q187" s="821"/>
      <c r="R187" s="821">
        <f>G187+I187+K187+L187+N187+P187+Q187</f>
        <v>3414</v>
      </c>
      <c r="S187" s="821">
        <v>1</v>
      </c>
      <c r="T187" s="821"/>
      <c r="U187" s="821"/>
      <c r="V187" s="824">
        <v>0.1</v>
      </c>
      <c r="W187" s="821">
        <f>R187*V187</f>
        <v>341.40000000000003</v>
      </c>
      <c r="X187" s="770"/>
      <c r="Y187" s="824"/>
      <c r="Z187" s="821"/>
      <c r="AA187" s="821">
        <f>AH187</f>
        <v>3286</v>
      </c>
      <c r="AB187" s="821">
        <f>(R187+Z187+U187+W187)*S187+AA187</f>
        <v>7041.4</v>
      </c>
      <c r="AC187" s="825">
        <f>AF187</f>
        <v>0</v>
      </c>
      <c r="AD187" s="825">
        <f>AB187+AC187</f>
        <v>7041.4</v>
      </c>
      <c r="AE187" s="826">
        <f>AB187</f>
        <v>7041.4</v>
      </c>
      <c r="AF187" s="826">
        <f>AE187-AB187</f>
        <v>0</v>
      </c>
      <c r="AG187" s="827">
        <f>6700*S187</f>
        <v>6700</v>
      </c>
      <c r="AH187" s="826">
        <f>AG187-(R187*S187)</f>
        <v>3286</v>
      </c>
      <c r="AI187" s="828">
        <f>G187*S187</f>
        <v>3414</v>
      </c>
      <c r="AJ187" s="828">
        <f>G187*T187</f>
        <v>0</v>
      </c>
      <c r="AK187" s="828">
        <f>R187*S187</f>
        <v>3414</v>
      </c>
      <c r="AL187" s="828">
        <f>R187*T187</f>
        <v>0</v>
      </c>
      <c r="AM187" s="828">
        <f t="shared" si="266"/>
        <v>0</v>
      </c>
      <c r="AN187" s="828">
        <f t="shared" si="266"/>
        <v>0</v>
      </c>
      <c r="AO187" s="830">
        <f>Z187*S187</f>
        <v>0</v>
      </c>
      <c r="AP187" s="830">
        <f>Z187*T187</f>
        <v>0</v>
      </c>
      <c r="AQ187" s="830">
        <f>AA187</f>
        <v>3286</v>
      </c>
      <c r="AR187" s="830">
        <f>W187*S187</f>
        <v>341.40000000000003</v>
      </c>
      <c r="AS187" s="830">
        <f>W187*T187</f>
        <v>0</v>
      </c>
      <c r="AT187" s="835">
        <f t="shared" si="209"/>
        <v>3414</v>
      </c>
      <c r="AU187" s="835">
        <f t="shared" si="210"/>
        <v>0</v>
      </c>
      <c r="AV187" s="828"/>
      <c r="AW187" s="944">
        <f>AT187+AU187-AV187</f>
        <v>3414</v>
      </c>
    </row>
    <row r="188" spans="2:49" s="196" customFormat="1" ht="63">
      <c r="B188" s="770"/>
      <c r="C188" s="819" t="s">
        <v>1444</v>
      </c>
      <c r="D188" s="820"/>
      <c r="E188" s="770" t="s">
        <v>1465</v>
      </c>
      <c r="F188" s="770">
        <v>3</v>
      </c>
      <c r="G188" s="821">
        <v>3414</v>
      </c>
      <c r="H188" s="821"/>
      <c r="I188" s="821"/>
      <c r="J188" s="821"/>
      <c r="K188" s="821"/>
      <c r="L188" s="821"/>
      <c r="M188" s="821"/>
      <c r="N188" s="821"/>
      <c r="O188" s="821"/>
      <c r="P188" s="821"/>
      <c r="Q188" s="821"/>
      <c r="R188" s="821">
        <f>G188+I188+K188+L188+N188+P188+Q188</f>
        <v>3414</v>
      </c>
      <c r="S188" s="821">
        <v>1</v>
      </c>
      <c r="T188" s="821"/>
      <c r="U188" s="821"/>
      <c r="V188" s="824">
        <v>0.1</v>
      </c>
      <c r="W188" s="821">
        <f>R188*V188</f>
        <v>341.40000000000003</v>
      </c>
      <c r="X188" s="770"/>
      <c r="Y188" s="824"/>
      <c r="Z188" s="821"/>
      <c r="AA188" s="821">
        <f>AH188</f>
        <v>3286</v>
      </c>
      <c r="AB188" s="821">
        <f>(R188+Z188+U188+W188)*S188+AA188</f>
        <v>7041.4</v>
      </c>
      <c r="AC188" s="825">
        <f>AF188</f>
        <v>0</v>
      </c>
      <c r="AD188" s="825">
        <f>AB188+AC188</f>
        <v>7041.4</v>
      </c>
      <c r="AE188" s="826">
        <f>AB188</f>
        <v>7041.4</v>
      </c>
      <c r="AF188" s="826">
        <f>AE188-AB188</f>
        <v>0</v>
      </c>
      <c r="AG188" s="827">
        <f>6700*S188</f>
        <v>6700</v>
      </c>
      <c r="AH188" s="826">
        <f>AG188-(R188*S188)</f>
        <v>3286</v>
      </c>
      <c r="AI188" s="828">
        <f>G188*S188</f>
        <v>3414</v>
      </c>
      <c r="AJ188" s="828">
        <f>G188*T188</f>
        <v>0</v>
      </c>
      <c r="AK188" s="828">
        <f>R188*S188</f>
        <v>3414</v>
      </c>
      <c r="AL188" s="828">
        <f>R188*T188</f>
        <v>0</v>
      </c>
      <c r="AM188" s="828">
        <f t="shared" si="266"/>
        <v>0</v>
      </c>
      <c r="AN188" s="828">
        <f t="shared" si="266"/>
        <v>0</v>
      </c>
      <c r="AO188" s="830">
        <f>Z188*S188</f>
        <v>0</v>
      </c>
      <c r="AP188" s="830">
        <f>Z188*T188</f>
        <v>0</v>
      </c>
      <c r="AQ188" s="830">
        <f>AA188</f>
        <v>3286</v>
      </c>
      <c r="AR188" s="830">
        <f>W188*S188</f>
        <v>341.40000000000003</v>
      </c>
      <c r="AS188" s="830">
        <f>W188*T188</f>
        <v>0</v>
      </c>
      <c r="AT188" s="835">
        <f t="shared" si="209"/>
        <v>3414</v>
      </c>
      <c r="AU188" s="835">
        <f t="shared" si="210"/>
        <v>0</v>
      </c>
      <c r="AV188" s="828"/>
      <c r="AW188" s="944">
        <f>AT188+AU188-AV188</f>
        <v>3414</v>
      </c>
    </row>
    <row r="189" spans="2:49" s="196" customFormat="1" ht="63">
      <c r="B189" s="770"/>
      <c r="C189" s="819" t="s">
        <v>1444</v>
      </c>
      <c r="D189" s="820"/>
      <c r="E189" s="770" t="s">
        <v>1460</v>
      </c>
      <c r="F189" s="770">
        <v>3</v>
      </c>
      <c r="G189" s="821">
        <v>3414</v>
      </c>
      <c r="H189" s="821"/>
      <c r="I189" s="821"/>
      <c r="J189" s="821"/>
      <c r="K189" s="821"/>
      <c r="L189" s="821"/>
      <c r="M189" s="821"/>
      <c r="N189" s="821"/>
      <c r="O189" s="821"/>
      <c r="P189" s="821"/>
      <c r="Q189" s="821"/>
      <c r="R189" s="821">
        <f>G189+I189+K189+L189+N189+P189+Q189</f>
        <v>3414</v>
      </c>
      <c r="S189" s="821">
        <v>1</v>
      </c>
      <c r="T189" s="821"/>
      <c r="U189" s="821"/>
      <c r="V189" s="824">
        <v>0.1</v>
      </c>
      <c r="W189" s="821">
        <f>R189*V189</f>
        <v>341.40000000000003</v>
      </c>
      <c r="X189" s="770"/>
      <c r="Y189" s="824"/>
      <c r="Z189" s="821"/>
      <c r="AA189" s="821">
        <f>AH189</f>
        <v>3286</v>
      </c>
      <c r="AB189" s="821">
        <f>(R189+Z189+U189+W189)*S189+AA189</f>
        <v>7041.4</v>
      </c>
      <c r="AC189" s="825">
        <f>AF189</f>
        <v>0</v>
      </c>
      <c r="AD189" s="825">
        <f>AB189+AC189</f>
        <v>7041.4</v>
      </c>
      <c r="AE189" s="826">
        <f>AB189</f>
        <v>7041.4</v>
      </c>
      <c r="AF189" s="826">
        <f>AE189-AB189</f>
        <v>0</v>
      </c>
      <c r="AG189" s="827">
        <f>6700*S189</f>
        <v>6700</v>
      </c>
      <c r="AH189" s="826">
        <f>AG189-(R189*S189)</f>
        <v>3286</v>
      </c>
      <c r="AI189" s="828">
        <f>G189*S189</f>
        <v>3414</v>
      </c>
      <c r="AJ189" s="828">
        <f>G189*T189</f>
        <v>0</v>
      </c>
      <c r="AK189" s="828">
        <f>R189*S189</f>
        <v>3414</v>
      </c>
      <c r="AL189" s="828">
        <f>R189*T189</f>
        <v>0</v>
      </c>
      <c r="AM189" s="828">
        <f t="shared" si="266"/>
        <v>0</v>
      </c>
      <c r="AN189" s="828">
        <f t="shared" si="266"/>
        <v>0</v>
      </c>
      <c r="AO189" s="830">
        <f>Z189*S189</f>
        <v>0</v>
      </c>
      <c r="AP189" s="830">
        <f>Z189*T189</f>
        <v>0</v>
      </c>
      <c r="AQ189" s="830">
        <f>AA189</f>
        <v>3286</v>
      </c>
      <c r="AR189" s="830">
        <f>W189*S189</f>
        <v>341.40000000000003</v>
      </c>
      <c r="AS189" s="830">
        <f>W189*T189</f>
        <v>0</v>
      </c>
      <c r="AT189" s="835">
        <f t="shared" si="209"/>
        <v>3414</v>
      </c>
      <c r="AU189" s="835">
        <f t="shared" si="210"/>
        <v>0</v>
      </c>
      <c r="AV189" s="828"/>
      <c r="AW189" s="944">
        <f>AT189+AU189-AV189</f>
        <v>3414</v>
      </c>
    </row>
    <row r="190" spans="2:49" s="196" customFormat="1" ht="31.5">
      <c r="B190" s="770"/>
      <c r="C190" s="799" t="s">
        <v>504</v>
      </c>
      <c r="D190" s="877"/>
      <c r="E190" s="812"/>
      <c r="F190" s="812"/>
      <c r="G190" s="802">
        <f>SUM(G185:G189)</f>
        <v>17070</v>
      </c>
      <c r="H190" s="813"/>
      <c r="I190" s="812"/>
      <c r="J190" s="813"/>
      <c r="K190" s="812"/>
      <c r="L190" s="812"/>
      <c r="M190" s="813"/>
      <c r="N190" s="812"/>
      <c r="O190" s="813"/>
      <c r="P190" s="812"/>
      <c r="Q190" s="812"/>
      <c r="R190" s="802">
        <f>SUM(R185:R189)</f>
        <v>17070</v>
      </c>
      <c r="S190" s="802">
        <f>SUM(S185:S189)</f>
        <v>5</v>
      </c>
      <c r="T190" s="802">
        <f>SUM(T185:T189)</f>
        <v>0</v>
      </c>
      <c r="U190" s="802"/>
      <c r="V190" s="802"/>
      <c r="W190" s="802">
        <f>SUM(W185:W189)</f>
        <v>1707.0000000000002</v>
      </c>
      <c r="X190" s="802"/>
      <c r="Y190" s="802"/>
      <c r="Z190" s="802"/>
      <c r="AA190" s="802">
        <f>SUM(AA185:AA189)</f>
        <v>16430</v>
      </c>
      <c r="AB190" s="802">
        <f>SUM(AB185:AB189)</f>
        <v>35207</v>
      </c>
      <c r="AC190" s="802">
        <f t="shared" ref="AC190:AW190" si="267">SUM(AC185:AC189)</f>
        <v>0</v>
      </c>
      <c r="AD190" s="802">
        <f t="shared" si="267"/>
        <v>35207</v>
      </c>
      <c r="AE190" s="802">
        <f t="shared" si="267"/>
        <v>35207</v>
      </c>
      <c r="AF190" s="802">
        <f t="shared" si="267"/>
        <v>0</v>
      </c>
      <c r="AG190" s="802">
        <f t="shared" si="267"/>
        <v>33500</v>
      </c>
      <c r="AH190" s="802">
        <f t="shared" si="267"/>
        <v>16430</v>
      </c>
      <c r="AI190" s="802">
        <f t="shared" si="267"/>
        <v>17070</v>
      </c>
      <c r="AJ190" s="802">
        <f t="shared" si="267"/>
        <v>0</v>
      </c>
      <c r="AK190" s="802">
        <f t="shared" si="267"/>
        <v>17070</v>
      </c>
      <c r="AL190" s="802">
        <f t="shared" si="267"/>
        <v>0</v>
      </c>
      <c r="AM190" s="802">
        <f t="shared" si="267"/>
        <v>0</v>
      </c>
      <c r="AN190" s="802">
        <f t="shared" si="267"/>
        <v>0</v>
      </c>
      <c r="AO190" s="802">
        <f t="shared" si="267"/>
        <v>0</v>
      </c>
      <c r="AP190" s="802">
        <f t="shared" si="267"/>
        <v>0</v>
      </c>
      <c r="AQ190" s="802">
        <f t="shared" si="267"/>
        <v>16430</v>
      </c>
      <c r="AR190" s="802">
        <f t="shared" si="267"/>
        <v>1707.0000000000002</v>
      </c>
      <c r="AS190" s="802">
        <f t="shared" si="267"/>
        <v>0</v>
      </c>
      <c r="AT190" s="802">
        <f t="shared" si="267"/>
        <v>17070</v>
      </c>
      <c r="AU190" s="802">
        <f t="shared" si="267"/>
        <v>0</v>
      </c>
      <c r="AV190" s="802">
        <f t="shared" si="267"/>
        <v>0</v>
      </c>
      <c r="AW190" s="802">
        <f t="shared" si="267"/>
        <v>17070</v>
      </c>
    </row>
    <row r="191" spans="2:49" s="196" customFormat="1" ht="31.5">
      <c r="B191" s="770"/>
      <c r="C191" s="799" t="s">
        <v>1547</v>
      </c>
      <c r="D191" s="832"/>
      <c r="E191" s="813"/>
      <c r="F191" s="812"/>
      <c r="G191" s="802">
        <f>G174+G183+G190</f>
        <v>64719</v>
      </c>
      <c r="H191" s="802"/>
      <c r="I191" s="802">
        <f>I174+I183+I190</f>
        <v>474.5</v>
      </c>
      <c r="J191" s="802"/>
      <c r="K191" s="802"/>
      <c r="L191" s="802"/>
      <c r="M191" s="802"/>
      <c r="N191" s="802"/>
      <c r="O191" s="802"/>
      <c r="P191" s="802"/>
      <c r="Q191" s="802"/>
      <c r="R191" s="802">
        <f>R174+R183+R190</f>
        <v>65850.2</v>
      </c>
      <c r="S191" s="802">
        <f>S174+S183+S190</f>
        <v>14</v>
      </c>
      <c r="T191" s="802">
        <f>T174+T183+T190</f>
        <v>0</v>
      </c>
      <c r="U191" s="802"/>
      <c r="V191" s="802"/>
      <c r="W191" s="802">
        <f>W174+W183+W190</f>
        <v>1707.0000000000002</v>
      </c>
      <c r="X191" s="802"/>
      <c r="Y191" s="802"/>
      <c r="Z191" s="802">
        <f>Z174+Z183+Z190</f>
        <v>12636.609999999999</v>
      </c>
      <c r="AA191" s="802">
        <f>AA174+AA183+AA190</f>
        <v>19841.099999999999</v>
      </c>
      <c r="AB191" s="802">
        <f>AB174+AB183+AB190</f>
        <v>100034.91</v>
      </c>
      <c r="AC191" s="802">
        <f t="shared" ref="AC191:AW191" si="268">AC174+AC183+AC190</f>
        <v>69672.09</v>
      </c>
      <c r="AD191" s="802">
        <f t="shared" si="268"/>
        <v>169707</v>
      </c>
      <c r="AE191" s="802">
        <f t="shared" si="268"/>
        <v>169707</v>
      </c>
      <c r="AF191" s="802">
        <f t="shared" si="268"/>
        <v>69672.09</v>
      </c>
      <c r="AG191" s="802">
        <f t="shared" si="268"/>
        <v>93800</v>
      </c>
      <c r="AH191" s="802">
        <f t="shared" si="268"/>
        <v>24369.010000000002</v>
      </c>
      <c r="AI191" s="802">
        <f t="shared" si="268"/>
        <v>64719</v>
      </c>
      <c r="AJ191" s="802">
        <f t="shared" si="268"/>
        <v>0</v>
      </c>
      <c r="AK191" s="802">
        <f t="shared" si="268"/>
        <v>65850.2</v>
      </c>
      <c r="AL191" s="802">
        <f t="shared" si="268"/>
        <v>0</v>
      </c>
      <c r="AM191" s="802">
        <f t="shared" si="268"/>
        <v>1131.1999999999998</v>
      </c>
      <c r="AN191" s="802">
        <f t="shared" si="268"/>
        <v>0</v>
      </c>
      <c r="AO191" s="802">
        <f t="shared" si="268"/>
        <v>12636.609999999999</v>
      </c>
      <c r="AP191" s="802">
        <f t="shared" si="268"/>
        <v>0</v>
      </c>
      <c r="AQ191" s="802">
        <f t="shared" si="268"/>
        <v>19841.099999999999</v>
      </c>
      <c r="AR191" s="802">
        <f t="shared" si="268"/>
        <v>1707.0000000000002</v>
      </c>
      <c r="AS191" s="802">
        <f t="shared" si="268"/>
        <v>0</v>
      </c>
      <c r="AT191" s="802">
        <f t="shared" si="268"/>
        <v>65850.2</v>
      </c>
      <c r="AU191" s="802">
        <f t="shared" si="268"/>
        <v>0</v>
      </c>
      <c r="AV191" s="802">
        <f t="shared" si="268"/>
        <v>0</v>
      </c>
      <c r="AW191" s="802">
        <f t="shared" si="268"/>
        <v>65850.2</v>
      </c>
    </row>
    <row r="192" spans="2:49" s="196" customFormat="1" ht="33">
      <c r="B192" s="770"/>
      <c r="C192" s="810" t="s">
        <v>544</v>
      </c>
      <c r="D192" s="811"/>
      <c r="E192" s="812"/>
      <c r="F192" s="812"/>
      <c r="G192" s="812"/>
      <c r="H192" s="813"/>
      <c r="I192" s="812"/>
      <c r="J192" s="813"/>
      <c r="K192" s="812"/>
      <c r="L192" s="812"/>
      <c r="M192" s="813"/>
      <c r="N192" s="812"/>
      <c r="O192" s="813"/>
      <c r="P192" s="812"/>
      <c r="Q192" s="812"/>
      <c r="R192" s="812"/>
      <c r="S192" s="812"/>
      <c r="T192" s="812"/>
      <c r="U192" s="812"/>
      <c r="V192" s="812"/>
      <c r="W192" s="812"/>
      <c r="X192" s="812"/>
      <c r="Y192" s="812"/>
      <c r="Z192" s="812"/>
      <c r="AA192" s="812"/>
      <c r="AB192" s="812"/>
      <c r="AC192" s="834"/>
      <c r="AD192" s="834"/>
      <c r="AE192" s="815"/>
      <c r="AF192" s="815"/>
      <c r="AG192" s="816"/>
      <c r="AH192" s="815"/>
      <c r="AI192" s="828">
        <f>G192*S192</f>
        <v>0</v>
      </c>
      <c r="AJ192" s="828">
        <f>G192*T192</f>
        <v>0</v>
      </c>
      <c r="AK192" s="828">
        <f>R192*S192</f>
        <v>0</v>
      </c>
      <c r="AL192" s="828">
        <f>R192*T192</f>
        <v>0</v>
      </c>
      <c r="AM192" s="828">
        <f t="shared" ref="AM192:AN195" si="269">AK192-AI192</f>
        <v>0</v>
      </c>
      <c r="AN192" s="828">
        <f t="shared" si="269"/>
        <v>0</v>
      </c>
      <c r="AO192" s="830">
        <f>Z192*S192</f>
        <v>0</v>
      </c>
      <c r="AP192" s="830">
        <f>Z192*T192</f>
        <v>0</v>
      </c>
      <c r="AQ192" s="830">
        <f>AA192</f>
        <v>0</v>
      </c>
      <c r="AR192" s="830">
        <f>W192*S192</f>
        <v>0</v>
      </c>
      <c r="AS192" s="830">
        <f>W192*T192</f>
        <v>0</v>
      </c>
      <c r="AT192" s="835"/>
      <c r="AU192" s="835"/>
      <c r="AV192" s="828"/>
      <c r="AW192" s="944"/>
    </row>
    <row r="193" spans="2:55" s="196" customFormat="1" ht="33">
      <c r="B193" s="770"/>
      <c r="C193" s="851" t="s">
        <v>1720</v>
      </c>
      <c r="D193" s="845"/>
      <c r="E193" s="846"/>
      <c r="F193" s="846"/>
      <c r="G193" s="846"/>
      <c r="H193" s="847"/>
      <c r="I193" s="846"/>
      <c r="J193" s="847"/>
      <c r="K193" s="846"/>
      <c r="L193" s="846"/>
      <c r="M193" s="847"/>
      <c r="N193" s="846"/>
      <c r="O193" s="847"/>
      <c r="P193" s="846"/>
      <c r="Q193" s="846"/>
      <c r="R193" s="846"/>
      <c r="S193" s="846"/>
      <c r="T193" s="846"/>
      <c r="U193" s="846"/>
      <c r="V193" s="846"/>
      <c r="W193" s="846"/>
      <c r="X193" s="846"/>
      <c r="Y193" s="846"/>
      <c r="Z193" s="846"/>
      <c r="AA193" s="846"/>
      <c r="AB193" s="846"/>
      <c r="AC193" s="848"/>
      <c r="AD193" s="848"/>
      <c r="AE193" s="849"/>
      <c r="AF193" s="849"/>
      <c r="AG193" s="850"/>
      <c r="AH193" s="849"/>
      <c r="AI193" s="828">
        <f>G193*S193</f>
        <v>0</v>
      </c>
      <c r="AJ193" s="828">
        <f>G193*T193</f>
        <v>0</v>
      </c>
      <c r="AK193" s="828">
        <f>R193*S193</f>
        <v>0</v>
      </c>
      <c r="AL193" s="828">
        <f>R193*T193</f>
        <v>0</v>
      </c>
      <c r="AM193" s="828">
        <f t="shared" si="269"/>
        <v>0</v>
      </c>
      <c r="AN193" s="828">
        <f t="shared" si="269"/>
        <v>0</v>
      </c>
      <c r="AO193" s="830">
        <f>Z193*S193</f>
        <v>0</v>
      </c>
      <c r="AP193" s="830">
        <f>Z193*T193</f>
        <v>0</v>
      </c>
      <c r="AQ193" s="830">
        <f>AA193</f>
        <v>0</v>
      </c>
      <c r="AR193" s="830">
        <f>W193*S193</f>
        <v>0</v>
      </c>
      <c r="AS193" s="830">
        <f>W193*T193</f>
        <v>0</v>
      </c>
      <c r="AT193" s="835"/>
      <c r="AU193" s="835"/>
      <c r="AV193" s="828"/>
      <c r="AW193" s="944"/>
      <c r="BC193" s="197"/>
    </row>
    <row r="194" spans="2:55" s="196" customFormat="1" ht="58.5">
      <c r="B194" s="770"/>
      <c r="C194" s="819" t="s">
        <v>1268</v>
      </c>
      <c r="D194" s="820" t="s">
        <v>1269</v>
      </c>
      <c r="E194" s="770" t="s">
        <v>1270</v>
      </c>
      <c r="F194" s="770">
        <v>13</v>
      </c>
      <c r="G194" s="821">
        <v>6567</v>
      </c>
      <c r="H194" s="824">
        <v>0.1</v>
      </c>
      <c r="I194" s="770">
        <f>G194*H194</f>
        <v>656.7</v>
      </c>
      <c r="J194" s="770"/>
      <c r="K194" s="770"/>
      <c r="L194" s="770"/>
      <c r="M194" s="770"/>
      <c r="N194" s="770"/>
      <c r="O194" s="770"/>
      <c r="P194" s="770"/>
      <c r="Q194" s="770"/>
      <c r="R194" s="821">
        <f>G194+I194+K194+L194+N194+P194+Q194</f>
        <v>7223.7</v>
      </c>
      <c r="S194" s="821">
        <v>1</v>
      </c>
      <c r="T194" s="821"/>
      <c r="U194" s="770"/>
      <c r="V194" s="770"/>
      <c r="W194" s="770"/>
      <c r="X194" s="770">
        <v>33</v>
      </c>
      <c r="Y194" s="824">
        <v>0.3</v>
      </c>
      <c r="Z194" s="821">
        <f>R194*Y194</f>
        <v>2167.1099999999997</v>
      </c>
      <c r="AA194" s="821"/>
      <c r="AB194" s="821">
        <f>R194+Z194</f>
        <v>9390.81</v>
      </c>
      <c r="AC194" s="825">
        <f>AF194</f>
        <v>10609.19</v>
      </c>
      <c r="AD194" s="825">
        <f>AB194+AC194</f>
        <v>20000</v>
      </c>
      <c r="AE194" s="826">
        <f>20000*S194</f>
        <v>20000</v>
      </c>
      <c r="AF194" s="826">
        <f>AE194-AB194</f>
        <v>10609.19</v>
      </c>
      <c r="AG194" s="827">
        <f>6700*S194</f>
        <v>6700</v>
      </c>
      <c r="AH194" s="826">
        <f>AB194-AG194</f>
        <v>2690.8099999999995</v>
      </c>
      <c r="AI194" s="828">
        <f>G194*S194</f>
        <v>6567</v>
      </c>
      <c r="AJ194" s="828">
        <f>G194*T194</f>
        <v>0</v>
      </c>
      <c r="AK194" s="828">
        <f>R194*S194</f>
        <v>7223.7</v>
      </c>
      <c r="AL194" s="828">
        <f>R194*T194</f>
        <v>0</v>
      </c>
      <c r="AM194" s="828">
        <f t="shared" si="269"/>
        <v>656.69999999999982</v>
      </c>
      <c r="AN194" s="828">
        <f t="shared" si="269"/>
        <v>0</v>
      </c>
      <c r="AO194" s="830">
        <f>Z194*S194</f>
        <v>2167.1099999999997</v>
      </c>
      <c r="AP194" s="830">
        <f>Z194*T194</f>
        <v>0</v>
      </c>
      <c r="AQ194" s="830">
        <f>AA194</f>
        <v>0</v>
      </c>
      <c r="AR194" s="830">
        <f>W194*S194</f>
        <v>0</v>
      </c>
      <c r="AS194" s="830">
        <f>W194*T194</f>
        <v>0</v>
      </c>
      <c r="AT194" s="835">
        <f t="shared" si="209"/>
        <v>7223.7</v>
      </c>
      <c r="AU194" s="835">
        <f t="shared" si="210"/>
        <v>0</v>
      </c>
      <c r="AV194" s="828"/>
      <c r="AW194" s="944">
        <f>AT194+AU194-AV194</f>
        <v>7223.7</v>
      </c>
    </row>
    <row r="195" spans="2:55" s="196" customFormat="1" ht="58.5">
      <c r="B195" s="770"/>
      <c r="C195" s="819" t="s">
        <v>1271</v>
      </c>
      <c r="D195" s="820" t="s">
        <v>1664</v>
      </c>
      <c r="E195" s="770" t="s">
        <v>1272</v>
      </c>
      <c r="F195" s="770">
        <v>12</v>
      </c>
      <c r="G195" s="821">
        <v>6133</v>
      </c>
      <c r="H195" s="821"/>
      <c r="I195" s="821"/>
      <c r="J195" s="821"/>
      <c r="K195" s="821"/>
      <c r="L195" s="821"/>
      <c r="M195" s="821"/>
      <c r="N195" s="821"/>
      <c r="O195" s="821"/>
      <c r="P195" s="821"/>
      <c r="Q195" s="821"/>
      <c r="R195" s="821">
        <f>G195+I195+K195+L195+N195+P195+Q195</f>
        <v>6133</v>
      </c>
      <c r="S195" s="821">
        <v>1</v>
      </c>
      <c r="T195" s="821"/>
      <c r="U195" s="821"/>
      <c r="V195" s="821"/>
      <c r="W195" s="821"/>
      <c r="X195" s="770">
        <v>42</v>
      </c>
      <c r="Y195" s="824">
        <v>0.3</v>
      </c>
      <c r="Z195" s="821">
        <f>R195*Y195</f>
        <v>1839.8999999999999</v>
      </c>
      <c r="AA195" s="821"/>
      <c r="AB195" s="821">
        <f>(R195+Z195)*S195</f>
        <v>7972.9</v>
      </c>
      <c r="AC195" s="825">
        <f>AF195</f>
        <v>12027.1</v>
      </c>
      <c r="AD195" s="825">
        <f>AB195+AC195</f>
        <v>20000</v>
      </c>
      <c r="AE195" s="826">
        <f>20000*S195</f>
        <v>20000</v>
      </c>
      <c r="AF195" s="826">
        <f>AE195-AB195</f>
        <v>12027.1</v>
      </c>
      <c r="AG195" s="827">
        <f>6700*S195</f>
        <v>6700</v>
      </c>
      <c r="AH195" s="826">
        <f>AB195-AG195</f>
        <v>1272.8999999999996</v>
      </c>
      <c r="AI195" s="828">
        <f>G195*S195</f>
        <v>6133</v>
      </c>
      <c r="AJ195" s="828">
        <f>G195*T195</f>
        <v>0</v>
      </c>
      <c r="AK195" s="828">
        <f>R195*S195</f>
        <v>6133</v>
      </c>
      <c r="AL195" s="828">
        <f>R195*T195</f>
        <v>0</v>
      </c>
      <c r="AM195" s="828">
        <f t="shared" si="269"/>
        <v>0</v>
      </c>
      <c r="AN195" s="828">
        <f t="shared" si="269"/>
        <v>0</v>
      </c>
      <c r="AO195" s="830">
        <f>Z195*S195</f>
        <v>1839.8999999999999</v>
      </c>
      <c r="AP195" s="830">
        <f>Z195*T195</f>
        <v>0</v>
      </c>
      <c r="AQ195" s="830">
        <f>AA195</f>
        <v>0</v>
      </c>
      <c r="AR195" s="830">
        <f>W195*S195</f>
        <v>0</v>
      </c>
      <c r="AS195" s="830">
        <f>W195*T195</f>
        <v>0</v>
      </c>
      <c r="AT195" s="835">
        <f t="shared" si="209"/>
        <v>6133</v>
      </c>
      <c r="AU195" s="835">
        <f t="shared" si="210"/>
        <v>0</v>
      </c>
      <c r="AV195" s="828"/>
      <c r="AW195" s="944">
        <f>AT195+AU195-AV195</f>
        <v>6133</v>
      </c>
    </row>
    <row r="196" spans="2:55" s="196" customFormat="1" ht="31.5">
      <c r="B196" s="770"/>
      <c r="C196" s="799" t="s">
        <v>504</v>
      </c>
      <c r="D196" s="832"/>
      <c r="E196" s="812"/>
      <c r="F196" s="812"/>
      <c r="G196" s="802">
        <f>SUM(G194:G195)</f>
        <v>12700</v>
      </c>
      <c r="H196" s="875"/>
      <c r="I196" s="802">
        <f>SUM(I194:I195)</f>
        <v>656.7</v>
      </c>
      <c r="J196" s="813"/>
      <c r="K196" s="812"/>
      <c r="L196" s="812"/>
      <c r="M196" s="813"/>
      <c r="N196" s="812"/>
      <c r="O196" s="813"/>
      <c r="P196" s="812"/>
      <c r="Q196" s="812"/>
      <c r="R196" s="802">
        <f>SUM(R194:R195)</f>
        <v>13356.7</v>
      </c>
      <c r="S196" s="802">
        <f>SUM(S194:S195)</f>
        <v>2</v>
      </c>
      <c r="T196" s="802">
        <f>SUM(T194:T195)</f>
        <v>0</v>
      </c>
      <c r="U196" s="802"/>
      <c r="V196" s="802"/>
      <c r="W196" s="802"/>
      <c r="X196" s="802"/>
      <c r="Y196" s="802"/>
      <c r="Z196" s="802">
        <f t="shared" ref="Z196:AW196" si="270">SUM(Z194:Z195)</f>
        <v>4007.0099999999993</v>
      </c>
      <c r="AA196" s="802">
        <f t="shared" si="270"/>
        <v>0</v>
      </c>
      <c r="AB196" s="802">
        <f t="shared" si="270"/>
        <v>17363.71</v>
      </c>
      <c r="AC196" s="802">
        <f t="shared" si="270"/>
        <v>22636.29</v>
      </c>
      <c r="AD196" s="802">
        <f t="shared" si="270"/>
        <v>40000</v>
      </c>
      <c r="AE196" s="802">
        <f t="shared" si="270"/>
        <v>40000</v>
      </c>
      <c r="AF196" s="802">
        <f t="shared" si="270"/>
        <v>22636.29</v>
      </c>
      <c r="AG196" s="802">
        <f t="shared" si="270"/>
        <v>13400</v>
      </c>
      <c r="AH196" s="802">
        <f t="shared" si="270"/>
        <v>3963.7099999999991</v>
      </c>
      <c r="AI196" s="802">
        <f t="shared" si="270"/>
        <v>12700</v>
      </c>
      <c r="AJ196" s="802">
        <f t="shared" si="270"/>
        <v>0</v>
      </c>
      <c r="AK196" s="802">
        <f t="shared" si="270"/>
        <v>13356.7</v>
      </c>
      <c r="AL196" s="802">
        <f t="shared" si="270"/>
        <v>0</v>
      </c>
      <c r="AM196" s="802">
        <f t="shared" si="270"/>
        <v>656.69999999999982</v>
      </c>
      <c r="AN196" s="802">
        <f t="shared" si="270"/>
        <v>0</v>
      </c>
      <c r="AO196" s="802">
        <f t="shared" si="270"/>
        <v>4007.0099999999993</v>
      </c>
      <c r="AP196" s="802">
        <f t="shared" si="270"/>
        <v>0</v>
      </c>
      <c r="AQ196" s="802">
        <f t="shared" si="270"/>
        <v>0</v>
      </c>
      <c r="AR196" s="802">
        <f t="shared" si="270"/>
        <v>0</v>
      </c>
      <c r="AS196" s="802">
        <f t="shared" si="270"/>
        <v>0</v>
      </c>
      <c r="AT196" s="802">
        <f t="shared" si="270"/>
        <v>13356.7</v>
      </c>
      <c r="AU196" s="802">
        <f t="shared" si="270"/>
        <v>0</v>
      </c>
      <c r="AV196" s="802">
        <f t="shared" si="270"/>
        <v>0</v>
      </c>
      <c r="AW196" s="802">
        <f t="shared" si="270"/>
        <v>13356.7</v>
      </c>
    </row>
    <row r="197" spans="2:55" s="196" customFormat="1" ht="33">
      <c r="B197" s="770"/>
      <c r="C197" s="851" t="s">
        <v>1988</v>
      </c>
      <c r="D197" s="811"/>
      <c r="E197" s="812"/>
      <c r="F197" s="812"/>
      <c r="G197" s="812"/>
      <c r="H197" s="813"/>
      <c r="I197" s="812"/>
      <c r="J197" s="813"/>
      <c r="K197" s="812"/>
      <c r="L197" s="812"/>
      <c r="M197" s="813"/>
      <c r="N197" s="812"/>
      <c r="O197" s="813"/>
      <c r="P197" s="812"/>
      <c r="Q197" s="812"/>
      <c r="R197" s="812"/>
      <c r="S197" s="812"/>
      <c r="T197" s="812"/>
      <c r="U197" s="812"/>
      <c r="V197" s="812"/>
      <c r="W197" s="812"/>
      <c r="X197" s="812"/>
      <c r="Y197" s="812"/>
      <c r="Z197" s="812"/>
      <c r="AA197" s="812"/>
      <c r="AB197" s="812"/>
      <c r="AC197" s="834"/>
      <c r="AD197" s="834"/>
      <c r="AE197" s="815"/>
      <c r="AF197" s="815"/>
      <c r="AG197" s="816"/>
      <c r="AH197" s="815"/>
      <c r="AI197" s="828"/>
      <c r="AJ197" s="828"/>
      <c r="AK197" s="828"/>
      <c r="AL197" s="828"/>
      <c r="AM197" s="828"/>
      <c r="AN197" s="828"/>
      <c r="AO197" s="830"/>
      <c r="AP197" s="830"/>
      <c r="AQ197" s="830"/>
      <c r="AR197" s="830"/>
      <c r="AS197" s="830"/>
      <c r="AT197" s="835"/>
      <c r="AU197" s="835"/>
      <c r="AV197" s="828"/>
      <c r="AW197" s="944"/>
    </row>
    <row r="198" spans="2:55" s="196" customFormat="1" ht="58.5">
      <c r="B198" s="770"/>
      <c r="C198" s="819" t="s">
        <v>1323</v>
      </c>
      <c r="D198" s="820" t="s">
        <v>1672</v>
      </c>
      <c r="E198" s="770" t="s">
        <v>1377</v>
      </c>
      <c r="F198" s="770">
        <v>9</v>
      </c>
      <c r="G198" s="821">
        <v>5005</v>
      </c>
      <c r="H198" s="824">
        <v>0.1</v>
      </c>
      <c r="I198" s="770">
        <f>G198*H198</f>
        <v>500.5</v>
      </c>
      <c r="J198" s="831"/>
      <c r="K198" s="831"/>
      <c r="L198" s="831"/>
      <c r="M198" s="831"/>
      <c r="N198" s="831"/>
      <c r="O198" s="831"/>
      <c r="P198" s="831"/>
      <c r="Q198" s="831"/>
      <c r="R198" s="821">
        <f t="shared" ref="R198:R204" si="271">G198+I198+K198+L198+N198+P198+Q198</f>
        <v>5505.5</v>
      </c>
      <c r="S198" s="821">
        <v>1</v>
      </c>
      <c r="T198" s="831"/>
      <c r="U198" s="831"/>
      <c r="V198" s="831"/>
      <c r="W198" s="831"/>
      <c r="X198" s="770">
        <v>32</v>
      </c>
      <c r="Y198" s="824">
        <v>0.3</v>
      </c>
      <c r="Z198" s="821">
        <f t="shared" ref="Z198:Z204" si="272">R198*Y198</f>
        <v>1651.6499999999999</v>
      </c>
      <c r="AA198" s="821"/>
      <c r="AB198" s="821">
        <f>(R198+Z198)*S198</f>
        <v>7157.15</v>
      </c>
      <c r="AC198" s="825">
        <f t="shared" ref="AC198:AC204" si="273">AF198</f>
        <v>6342.85</v>
      </c>
      <c r="AD198" s="825">
        <f t="shared" ref="AD198:AD204" si="274">AB198+AC198</f>
        <v>13500</v>
      </c>
      <c r="AE198" s="826">
        <f t="shared" ref="AE198:AE204" si="275">13500*S198</f>
        <v>13500</v>
      </c>
      <c r="AF198" s="826">
        <f t="shared" ref="AF198:AF204" si="276">AE198-AB198</f>
        <v>6342.85</v>
      </c>
      <c r="AG198" s="827">
        <f t="shared" ref="AG198:AG204" si="277">6700*S198</f>
        <v>6700</v>
      </c>
      <c r="AH198" s="826"/>
      <c r="AI198" s="828">
        <f t="shared" ref="AI198:AI204" si="278">G198*S198</f>
        <v>5005</v>
      </c>
      <c r="AJ198" s="828">
        <f t="shared" ref="AJ198:AJ204" si="279">G198*T198</f>
        <v>0</v>
      </c>
      <c r="AK198" s="828">
        <f t="shared" ref="AK198:AK204" si="280">R198*S198</f>
        <v>5505.5</v>
      </c>
      <c r="AL198" s="828">
        <f t="shared" ref="AL198:AL204" si="281">R198*T198</f>
        <v>0</v>
      </c>
      <c r="AM198" s="828">
        <f t="shared" ref="AM198:AM204" si="282">AK198-AI198</f>
        <v>500.5</v>
      </c>
      <c r="AN198" s="828">
        <f t="shared" ref="AN198:AN204" si="283">AL198-AJ198</f>
        <v>0</v>
      </c>
      <c r="AO198" s="830">
        <f t="shared" ref="AO198:AO204" si="284">Z198*S198</f>
        <v>1651.6499999999999</v>
      </c>
      <c r="AP198" s="830">
        <f t="shared" ref="AP198:AP204" si="285">Z198*T198</f>
        <v>0</v>
      </c>
      <c r="AQ198" s="830">
        <f t="shared" ref="AQ198:AQ204" si="286">AA198</f>
        <v>0</v>
      </c>
      <c r="AR198" s="830">
        <f t="shared" ref="AR198:AR204" si="287">W198*S198</f>
        <v>0</v>
      </c>
      <c r="AS198" s="830">
        <f t="shared" ref="AS198:AS204" si="288">W198*T198</f>
        <v>0</v>
      </c>
      <c r="AT198" s="835">
        <f t="shared" si="209"/>
        <v>5505.5</v>
      </c>
      <c r="AU198" s="835">
        <f t="shared" si="210"/>
        <v>0</v>
      </c>
      <c r="AV198" s="828"/>
      <c r="AW198" s="944">
        <f t="shared" ref="AW198:AW204" si="289">AT198+AU198-AV198</f>
        <v>5505.5</v>
      </c>
    </row>
    <row r="199" spans="2:55" s="196" customFormat="1" ht="63">
      <c r="B199" s="770"/>
      <c r="C199" s="819" t="s">
        <v>1347</v>
      </c>
      <c r="D199" s="820" t="s">
        <v>1669</v>
      </c>
      <c r="E199" s="770" t="s">
        <v>1378</v>
      </c>
      <c r="F199" s="770">
        <v>9</v>
      </c>
      <c r="G199" s="821">
        <v>5005</v>
      </c>
      <c r="H199" s="821"/>
      <c r="I199" s="821"/>
      <c r="J199" s="821"/>
      <c r="K199" s="821"/>
      <c r="L199" s="821"/>
      <c r="M199" s="821"/>
      <c r="N199" s="821"/>
      <c r="O199" s="821"/>
      <c r="P199" s="821"/>
      <c r="Q199" s="821"/>
      <c r="R199" s="821">
        <f t="shared" si="271"/>
        <v>5005</v>
      </c>
      <c r="S199" s="821">
        <v>1</v>
      </c>
      <c r="T199" s="831"/>
      <c r="U199" s="831"/>
      <c r="V199" s="831"/>
      <c r="W199" s="831"/>
      <c r="X199" s="770">
        <v>17</v>
      </c>
      <c r="Y199" s="824">
        <v>0.2</v>
      </c>
      <c r="Z199" s="821">
        <f t="shared" si="272"/>
        <v>1001</v>
      </c>
      <c r="AA199" s="821">
        <f t="shared" ref="AA199:AA204" si="290">AH199</f>
        <v>694</v>
      </c>
      <c r="AB199" s="821">
        <f t="shared" ref="AB199:AB204" si="291">(R199+Z199)*S199+AA199</f>
        <v>6700</v>
      </c>
      <c r="AC199" s="825">
        <f t="shared" si="273"/>
        <v>6800</v>
      </c>
      <c r="AD199" s="825">
        <f t="shared" si="274"/>
        <v>13500</v>
      </c>
      <c r="AE199" s="826">
        <f t="shared" si="275"/>
        <v>13500</v>
      </c>
      <c r="AF199" s="826">
        <f t="shared" si="276"/>
        <v>6800</v>
      </c>
      <c r="AG199" s="827">
        <f t="shared" si="277"/>
        <v>6700</v>
      </c>
      <c r="AH199" s="826">
        <f t="shared" ref="AH199:AH204" si="292">AG199-(R199*S199)-Z199</f>
        <v>694</v>
      </c>
      <c r="AI199" s="828">
        <f t="shared" si="278"/>
        <v>5005</v>
      </c>
      <c r="AJ199" s="828">
        <f t="shared" si="279"/>
        <v>0</v>
      </c>
      <c r="AK199" s="828">
        <f t="shared" si="280"/>
        <v>5005</v>
      </c>
      <c r="AL199" s="828">
        <f t="shared" si="281"/>
        <v>0</v>
      </c>
      <c r="AM199" s="828">
        <f t="shared" si="282"/>
        <v>0</v>
      </c>
      <c r="AN199" s="828">
        <f t="shared" si="283"/>
        <v>0</v>
      </c>
      <c r="AO199" s="830">
        <f t="shared" si="284"/>
        <v>1001</v>
      </c>
      <c r="AP199" s="830">
        <f t="shared" si="285"/>
        <v>0</v>
      </c>
      <c r="AQ199" s="830">
        <f t="shared" si="286"/>
        <v>694</v>
      </c>
      <c r="AR199" s="830">
        <f t="shared" si="287"/>
        <v>0</v>
      </c>
      <c r="AS199" s="830">
        <f t="shared" si="288"/>
        <v>0</v>
      </c>
      <c r="AT199" s="835">
        <f t="shared" si="209"/>
        <v>5005</v>
      </c>
      <c r="AU199" s="835">
        <f t="shared" si="210"/>
        <v>0</v>
      </c>
      <c r="AV199" s="828"/>
      <c r="AW199" s="944">
        <f t="shared" si="289"/>
        <v>5005</v>
      </c>
    </row>
    <row r="200" spans="2:55" s="196" customFormat="1" ht="58.5">
      <c r="B200" s="770"/>
      <c r="C200" s="819" t="s">
        <v>1306</v>
      </c>
      <c r="D200" s="820" t="s">
        <v>1379</v>
      </c>
      <c r="E200" s="831" t="s">
        <v>1380</v>
      </c>
      <c r="F200" s="770">
        <v>9</v>
      </c>
      <c r="G200" s="821">
        <v>5005</v>
      </c>
      <c r="H200" s="821"/>
      <c r="I200" s="821"/>
      <c r="J200" s="821"/>
      <c r="K200" s="821"/>
      <c r="L200" s="821"/>
      <c r="M200" s="821"/>
      <c r="N200" s="821"/>
      <c r="O200" s="821"/>
      <c r="P200" s="821"/>
      <c r="Q200" s="821"/>
      <c r="R200" s="821">
        <f t="shared" si="271"/>
        <v>5005</v>
      </c>
      <c r="S200" s="821">
        <v>1</v>
      </c>
      <c r="T200" s="821"/>
      <c r="U200" s="821"/>
      <c r="V200" s="821"/>
      <c r="W200" s="821"/>
      <c r="X200" s="770">
        <v>39</v>
      </c>
      <c r="Y200" s="824">
        <v>0.3</v>
      </c>
      <c r="Z200" s="821">
        <f t="shared" si="272"/>
        <v>1501.5</v>
      </c>
      <c r="AA200" s="821">
        <f t="shared" si="290"/>
        <v>193.5</v>
      </c>
      <c r="AB200" s="821">
        <f t="shared" si="291"/>
        <v>6700</v>
      </c>
      <c r="AC200" s="825">
        <f t="shared" si="273"/>
        <v>6800</v>
      </c>
      <c r="AD200" s="825">
        <f t="shared" si="274"/>
        <v>13500</v>
      </c>
      <c r="AE200" s="826">
        <f t="shared" si="275"/>
        <v>13500</v>
      </c>
      <c r="AF200" s="826">
        <f t="shared" si="276"/>
        <v>6800</v>
      </c>
      <c r="AG200" s="827">
        <f t="shared" si="277"/>
        <v>6700</v>
      </c>
      <c r="AH200" s="826">
        <f t="shared" si="292"/>
        <v>193.5</v>
      </c>
      <c r="AI200" s="828">
        <f t="shared" si="278"/>
        <v>5005</v>
      </c>
      <c r="AJ200" s="828">
        <f t="shared" si="279"/>
        <v>0</v>
      </c>
      <c r="AK200" s="828">
        <f t="shared" si="280"/>
        <v>5005</v>
      </c>
      <c r="AL200" s="828">
        <f t="shared" si="281"/>
        <v>0</v>
      </c>
      <c r="AM200" s="828">
        <f t="shared" si="282"/>
        <v>0</v>
      </c>
      <c r="AN200" s="828">
        <f t="shared" si="283"/>
        <v>0</v>
      </c>
      <c r="AO200" s="830">
        <f t="shared" si="284"/>
        <v>1501.5</v>
      </c>
      <c r="AP200" s="830">
        <f t="shared" si="285"/>
        <v>0</v>
      </c>
      <c r="AQ200" s="830">
        <f t="shared" si="286"/>
        <v>193.5</v>
      </c>
      <c r="AR200" s="830">
        <f t="shared" si="287"/>
        <v>0</v>
      </c>
      <c r="AS200" s="830">
        <f t="shared" si="288"/>
        <v>0</v>
      </c>
      <c r="AT200" s="835">
        <f t="shared" si="209"/>
        <v>5005</v>
      </c>
      <c r="AU200" s="835">
        <f t="shared" si="210"/>
        <v>0</v>
      </c>
      <c r="AV200" s="828"/>
      <c r="AW200" s="944">
        <f t="shared" si="289"/>
        <v>5005</v>
      </c>
    </row>
    <row r="201" spans="2:55" s="196" customFormat="1" ht="58.5">
      <c r="B201" s="770"/>
      <c r="C201" s="819" t="s">
        <v>1306</v>
      </c>
      <c r="D201" s="820" t="s">
        <v>1381</v>
      </c>
      <c r="E201" s="831" t="s">
        <v>1382</v>
      </c>
      <c r="F201" s="770">
        <v>9</v>
      </c>
      <c r="G201" s="821">
        <v>5005</v>
      </c>
      <c r="H201" s="821"/>
      <c r="I201" s="821"/>
      <c r="J201" s="821"/>
      <c r="K201" s="821"/>
      <c r="L201" s="821"/>
      <c r="M201" s="821"/>
      <c r="N201" s="821"/>
      <c r="O201" s="821"/>
      <c r="P201" s="821"/>
      <c r="Q201" s="821"/>
      <c r="R201" s="821">
        <f t="shared" si="271"/>
        <v>5005</v>
      </c>
      <c r="S201" s="821">
        <v>1</v>
      </c>
      <c r="T201" s="821"/>
      <c r="U201" s="821"/>
      <c r="V201" s="821"/>
      <c r="W201" s="821"/>
      <c r="X201" s="770">
        <v>36</v>
      </c>
      <c r="Y201" s="824">
        <v>0.3</v>
      </c>
      <c r="Z201" s="821">
        <f t="shared" si="272"/>
        <v>1501.5</v>
      </c>
      <c r="AA201" s="821">
        <f t="shared" si="290"/>
        <v>193.5</v>
      </c>
      <c r="AB201" s="821">
        <f t="shared" si="291"/>
        <v>6700</v>
      </c>
      <c r="AC201" s="825">
        <f t="shared" si="273"/>
        <v>6800</v>
      </c>
      <c r="AD201" s="825">
        <f t="shared" si="274"/>
        <v>13500</v>
      </c>
      <c r="AE201" s="826">
        <f t="shared" si="275"/>
        <v>13500</v>
      </c>
      <c r="AF201" s="826">
        <f t="shared" si="276"/>
        <v>6800</v>
      </c>
      <c r="AG201" s="827">
        <f t="shared" si="277"/>
        <v>6700</v>
      </c>
      <c r="AH201" s="826">
        <f t="shared" si="292"/>
        <v>193.5</v>
      </c>
      <c r="AI201" s="828">
        <f t="shared" si="278"/>
        <v>5005</v>
      </c>
      <c r="AJ201" s="828">
        <f t="shared" si="279"/>
        <v>0</v>
      </c>
      <c r="AK201" s="828">
        <f t="shared" si="280"/>
        <v>5005</v>
      </c>
      <c r="AL201" s="828">
        <f t="shared" si="281"/>
        <v>0</v>
      </c>
      <c r="AM201" s="828">
        <f t="shared" si="282"/>
        <v>0</v>
      </c>
      <c r="AN201" s="828">
        <f t="shared" si="283"/>
        <v>0</v>
      </c>
      <c r="AO201" s="830">
        <f t="shared" si="284"/>
        <v>1501.5</v>
      </c>
      <c r="AP201" s="830">
        <f t="shared" si="285"/>
        <v>0</v>
      </c>
      <c r="AQ201" s="830">
        <f t="shared" si="286"/>
        <v>193.5</v>
      </c>
      <c r="AR201" s="830">
        <f t="shared" si="287"/>
        <v>0</v>
      </c>
      <c r="AS201" s="830">
        <f t="shared" si="288"/>
        <v>0</v>
      </c>
      <c r="AT201" s="835">
        <f t="shared" si="209"/>
        <v>5005</v>
      </c>
      <c r="AU201" s="835">
        <f t="shared" si="210"/>
        <v>0</v>
      </c>
      <c r="AV201" s="828"/>
      <c r="AW201" s="944">
        <f t="shared" si="289"/>
        <v>5005</v>
      </c>
      <c r="AX201" s="198"/>
      <c r="AY201" s="198"/>
      <c r="AZ201" s="198"/>
    </row>
    <row r="202" spans="2:55" s="196" customFormat="1" ht="58.5">
      <c r="B202" s="770"/>
      <c r="C202" s="819" t="s">
        <v>1306</v>
      </c>
      <c r="D202" s="820" t="s">
        <v>1352</v>
      </c>
      <c r="E202" s="831" t="s">
        <v>1383</v>
      </c>
      <c r="F202" s="770">
        <v>9</v>
      </c>
      <c r="G202" s="821">
        <v>5005</v>
      </c>
      <c r="H202" s="821"/>
      <c r="I202" s="821"/>
      <c r="J202" s="821"/>
      <c r="K202" s="821"/>
      <c r="L202" s="821"/>
      <c r="M202" s="821"/>
      <c r="N202" s="821"/>
      <c r="O202" s="821"/>
      <c r="P202" s="831"/>
      <c r="Q202" s="831"/>
      <c r="R202" s="821">
        <f t="shared" si="271"/>
        <v>5005</v>
      </c>
      <c r="S202" s="821">
        <v>1</v>
      </c>
      <c r="T202" s="821"/>
      <c r="U202" s="831"/>
      <c r="V202" s="831"/>
      <c r="W202" s="831"/>
      <c r="X202" s="770">
        <v>33</v>
      </c>
      <c r="Y202" s="824">
        <v>0.3</v>
      </c>
      <c r="Z202" s="821">
        <f t="shared" si="272"/>
        <v>1501.5</v>
      </c>
      <c r="AA202" s="821">
        <f t="shared" si="290"/>
        <v>193.5</v>
      </c>
      <c r="AB202" s="821">
        <f t="shared" si="291"/>
        <v>6700</v>
      </c>
      <c r="AC202" s="825">
        <f t="shared" si="273"/>
        <v>6800</v>
      </c>
      <c r="AD202" s="825">
        <f t="shared" si="274"/>
        <v>13500</v>
      </c>
      <c r="AE202" s="826">
        <f t="shared" si="275"/>
        <v>13500</v>
      </c>
      <c r="AF202" s="826">
        <f t="shared" si="276"/>
        <v>6800</v>
      </c>
      <c r="AG202" s="827">
        <f t="shared" si="277"/>
        <v>6700</v>
      </c>
      <c r="AH202" s="826">
        <f t="shared" si="292"/>
        <v>193.5</v>
      </c>
      <c r="AI202" s="828">
        <f t="shared" si="278"/>
        <v>5005</v>
      </c>
      <c r="AJ202" s="828">
        <f t="shared" si="279"/>
        <v>0</v>
      </c>
      <c r="AK202" s="828">
        <f t="shared" si="280"/>
        <v>5005</v>
      </c>
      <c r="AL202" s="828">
        <f t="shared" si="281"/>
        <v>0</v>
      </c>
      <c r="AM202" s="828">
        <f t="shared" si="282"/>
        <v>0</v>
      </c>
      <c r="AN202" s="828">
        <f t="shared" si="283"/>
        <v>0</v>
      </c>
      <c r="AO202" s="830">
        <f t="shared" si="284"/>
        <v>1501.5</v>
      </c>
      <c r="AP202" s="830">
        <f t="shared" si="285"/>
        <v>0</v>
      </c>
      <c r="AQ202" s="830">
        <f t="shared" si="286"/>
        <v>193.5</v>
      </c>
      <c r="AR202" s="830">
        <f t="shared" si="287"/>
        <v>0</v>
      </c>
      <c r="AS202" s="830">
        <f t="shared" si="288"/>
        <v>0</v>
      </c>
      <c r="AT202" s="835">
        <f t="shared" si="209"/>
        <v>5005</v>
      </c>
      <c r="AU202" s="835">
        <f t="shared" si="210"/>
        <v>0</v>
      </c>
      <c r="AV202" s="828"/>
      <c r="AW202" s="944">
        <f t="shared" si="289"/>
        <v>5005</v>
      </c>
      <c r="AX202" s="198"/>
      <c r="AY202" s="198"/>
      <c r="AZ202" s="198"/>
    </row>
    <row r="203" spans="2:55" s="196" customFormat="1" ht="58.5">
      <c r="B203" s="770"/>
      <c r="C203" s="819" t="s">
        <v>1306</v>
      </c>
      <c r="D203" s="820" t="s">
        <v>1381</v>
      </c>
      <c r="E203" s="831" t="s">
        <v>581</v>
      </c>
      <c r="F203" s="770">
        <v>9</v>
      </c>
      <c r="G203" s="821">
        <v>5005</v>
      </c>
      <c r="H203" s="821"/>
      <c r="I203" s="821"/>
      <c r="J203" s="824"/>
      <c r="K203" s="824"/>
      <c r="L203" s="824"/>
      <c r="M203" s="821"/>
      <c r="N203" s="821"/>
      <c r="O203" s="821"/>
      <c r="P203" s="831"/>
      <c r="Q203" s="831"/>
      <c r="R203" s="821">
        <f t="shared" si="271"/>
        <v>5005</v>
      </c>
      <c r="S203" s="821">
        <v>1</v>
      </c>
      <c r="T203" s="821"/>
      <c r="U203" s="831"/>
      <c r="V203" s="831"/>
      <c r="W203" s="831"/>
      <c r="X203" s="770">
        <v>31</v>
      </c>
      <c r="Y203" s="824">
        <v>0.3</v>
      </c>
      <c r="Z203" s="821">
        <f t="shared" si="272"/>
        <v>1501.5</v>
      </c>
      <c r="AA203" s="821">
        <f t="shared" si="290"/>
        <v>193.5</v>
      </c>
      <c r="AB203" s="821">
        <f t="shared" si="291"/>
        <v>6700</v>
      </c>
      <c r="AC203" s="825">
        <f t="shared" si="273"/>
        <v>6800</v>
      </c>
      <c r="AD203" s="825">
        <f t="shared" si="274"/>
        <v>13500</v>
      </c>
      <c r="AE203" s="826">
        <f t="shared" si="275"/>
        <v>13500</v>
      </c>
      <c r="AF203" s="826">
        <f t="shared" si="276"/>
        <v>6800</v>
      </c>
      <c r="AG203" s="827">
        <f t="shared" si="277"/>
        <v>6700</v>
      </c>
      <c r="AH203" s="826">
        <f t="shared" si="292"/>
        <v>193.5</v>
      </c>
      <c r="AI203" s="828">
        <f t="shared" si="278"/>
        <v>5005</v>
      </c>
      <c r="AJ203" s="828">
        <f t="shared" si="279"/>
        <v>0</v>
      </c>
      <c r="AK203" s="828">
        <f t="shared" si="280"/>
        <v>5005</v>
      </c>
      <c r="AL203" s="828">
        <f t="shared" si="281"/>
        <v>0</v>
      </c>
      <c r="AM203" s="828">
        <f t="shared" si="282"/>
        <v>0</v>
      </c>
      <c r="AN203" s="828">
        <f t="shared" si="283"/>
        <v>0</v>
      </c>
      <c r="AO203" s="830">
        <f t="shared" si="284"/>
        <v>1501.5</v>
      </c>
      <c r="AP203" s="830">
        <f t="shared" si="285"/>
        <v>0</v>
      </c>
      <c r="AQ203" s="830">
        <f t="shared" si="286"/>
        <v>193.5</v>
      </c>
      <c r="AR203" s="830">
        <f t="shared" si="287"/>
        <v>0</v>
      </c>
      <c r="AS203" s="830">
        <f t="shared" si="288"/>
        <v>0</v>
      </c>
      <c r="AT203" s="835">
        <f t="shared" si="209"/>
        <v>5005</v>
      </c>
      <c r="AU203" s="835">
        <f t="shared" si="210"/>
        <v>0</v>
      </c>
      <c r="AV203" s="828"/>
      <c r="AW203" s="944">
        <f t="shared" si="289"/>
        <v>5005</v>
      </c>
    </row>
    <row r="204" spans="2:55" s="196" customFormat="1" ht="69.75" customHeight="1">
      <c r="B204" s="770"/>
      <c r="C204" s="819" t="s">
        <v>1306</v>
      </c>
      <c r="D204" s="820" t="s">
        <v>790</v>
      </c>
      <c r="E204" s="770" t="s">
        <v>1384</v>
      </c>
      <c r="F204" s="770">
        <v>9</v>
      </c>
      <c r="G204" s="821">
        <v>5005</v>
      </c>
      <c r="H204" s="821"/>
      <c r="I204" s="821"/>
      <c r="J204" s="821"/>
      <c r="K204" s="821"/>
      <c r="L204" s="821"/>
      <c r="M204" s="821"/>
      <c r="N204" s="821"/>
      <c r="O204" s="821"/>
      <c r="P204" s="821"/>
      <c r="Q204" s="821"/>
      <c r="R204" s="821">
        <f t="shared" si="271"/>
        <v>5005</v>
      </c>
      <c r="S204" s="821">
        <v>1</v>
      </c>
      <c r="T204" s="821"/>
      <c r="U204" s="821"/>
      <c r="V204" s="821"/>
      <c r="W204" s="821"/>
      <c r="X204" s="770">
        <v>29</v>
      </c>
      <c r="Y204" s="824">
        <v>0.3</v>
      </c>
      <c r="Z204" s="821">
        <f t="shared" si="272"/>
        <v>1501.5</v>
      </c>
      <c r="AA204" s="821">
        <f t="shared" si="290"/>
        <v>193.5</v>
      </c>
      <c r="AB204" s="821">
        <f t="shared" si="291"/>
        <v>6700</v>
      </c>
      <c r="AC204" s="825">
        <f t="shared" si="273"/>
        <v>6800</v>
      </c>
      <c r="AD204" s="825">
        <f t="shared" si="274"/>
        <v>13500</v>
      </c>
      <c r="AE204" s="826">
        <f t="shared" si="275"/>
        <v>13500</v>
      </c>
      <c r="AF204" s="826">
        <f t="shared" si="276"/>
        <v>6800</v>
      </c>
      <c r="AG204" s="827">
        <f t="shared" si="277"/>
        <v>6700</v>
      </c>
      <c r="AH204" s="826">
        <f t="shared" si="292"/>
        <v>193.5</v>
      </c>
      <c r="AI204" s="828">
        <f t="shared" si="278"/>
        <v>5005</v>
      </c>
      <c r="AJ204" s="828">
        <f t="shared" si="279"/>
        <v>0</v>
      </c>
      <c r="AK204" s="828">
        <f t="shared" si="280"/>
        <v>5005</v>
      </c>
      <c r="AL204" s="828">
        <f t="shared" si="281"/>
        <v>0</v>
      </c>
      <c r="AM204" s="828">
        <f t="shared" si="282"/>
        <v>0</v>
      </c>
      <c r="AN204" s="828">
        <f t="shared" si="283"/>
        <v>0</v>
      </c>
      <c r="AO204" s="830">
        <f t="shared" si="284"/>
        <v>1501.5</v>
      </c>
      <c r="AP204" s="830">
        <f t="shared" si="285"/>
        <v>0</v>
      </c>
      <c r="AQ204" s="830">
        <f t="shared" si="286"/>
        <v>193.5</v>
      </c>
      <c r="AR204" s="830">
        <f t="shared" si="287"/>
        <v>0</v>
      </c>
      <c r="AS204" s="830">
        <f t="shared" si="288"/>
        <v>0</v>
      </c>
      <c r="AT204" s="835">
        <f t="shared" si="209"/>
        <v>5005</v>
      </c>
      <c r="AU204" s="835">
        <f t="shared" si="210"/>
        <v>0</v>
      </c>
      <c r="AV204" s="828"/>
      <c r="AW204" s="944">
        <f t="shared" si="289"/>
        <v>5005</v>
      </c>
    </row>
    <row r="205" spans="2:55" s="196" customFormat="1" ht="31.5">
      <c r="B205" s="770"/>
      <c r="C205" s="799" t="s">
        <v>504</v>
      </c>
      <c r="D205" s="832"/>
      <c r="E205" s="812"/>
      <c r="F205" s="812"/>
      <c r="G205" s="802">
        <f>SUM(G198:G204)</f>
        <v>35035</v>
      </c>
      <c r="H205" s="875"/>
      <c r="I205" s="802">
        <f>SUM(I198:I204)</f>
        <v>500.5</v>
      </c>
      <c r="J205" s="813"/>
      <c r="K205" s="812"/>
      <c r="L205" s="812"/>
      <c r="M205" s="813"/>
      <c r="N205" s="812"/>
      <c r="O205" s="813"/>
      <c r="P205" s="812"/>
      <c r="Q205" s="812"/>
      <c r="R205" s="802">
        <f>SUM(R198:R204)</f>
        <v>35535.5</v>
      </c>
      <c r="S205" s="802">
        <f>SUM(S198:S204)</f>
        <v>7</v>
      </c>
      <c r="T205" s="802">
        <f>SUM(T198:T204)</f>
        <v>0</v>
      </c>
      <c r="U205" s="802"/>
      <c r="V205" s="802"/>
      <c r="W205" s="802"/>
      <c r="X205" s="802"/>
      <c r="Y205" s="802"/>
      <c r="Z205" s="802">
        <f t="shared" ref="Z205:AW205" si="293">SUM(Z198:Z204)</f>
        <v>10160.15</v>
      </c>
      <c r="AA205" s="802">
        <f t="shared" si="293"/>
        <v>1661.5</v>
      </c>
      <c r="AB205" s="802">
        <f t="shared" si="293"/>
        <v>47357.15</v>
      </c>
      <c r="AC205" s="802">
        <f t="shared" si="293"/>
        <v>47142.85</v>
      </c>
      <c r="AD205" s="802">
        <f t="shared" si="293"/>
        <v>94500</v>
      </c>
      <c r="AE205" s="802">
        <f t="shared" si="293"/>
        <v>94500</v>
      </c>
      <c r="AF205" s="802">
        <f t="shared" si="293"/>
        <v>47142.85</v>
      </c>
      <c r="AG205" s="802">
        <f t="shared" si="293"/>
        <v>46900</v>
      </c>
      <c r="AH205" s="802">
        <f t="shared" si="293"/>
        <v>1661.5</v>
      </c>
      <c r="AI205" s="802">
        <f t="shared" si="293"/>
        <v>35035</v>
      </c>
      <c r="AJ205" s="802">
        <f t="shared" si="293"/>
        <v>0</v>
      </c>
      <c r="AK205" s="802">
        <f t="shared" si="293"/>
        <v>35535.5</v>
      </c>
      <c r="AL205" s="802">
        <f t="shared" si="293"/>
        <v>0</v>
      </c>
      <c r="AM205" s="802">
        <f t="shared" si="293"/>
        <v>500.5</v>
      </c>
      <c r="AN205" s="802">
        <f t="shared" si="293"/>
        <v>0</v>
      </c>
      <c r="AO205" s="802">
        <f t="shared" si="293"/>
        <v>10160.15</v>
      </c>
      <c r="AP205" s="802">
        <f t="shared" si="293"/>
        <v>0</v>
      </c>
      <c r="AQ205" s="802">
        <f t="shared" si="293"/>
        <v>1661.5</v>
      </c>
      <c r="AR205" s="802">
        <f t="shared" si="293"/>
        <v>0</v>
      </c>
      <c r="AS205" s="802">
        <f t="shared" si="293"/>
        <v>0</v>
      </c>
      <c r="AT205" s="802">
        <f t="shared" si="293"/>
        <v>35535.5</v>
      </c>
      <c r="AU205" s="802">
        <f t="shared" si="293"/>
        <v>0</v>
      </c>
      <c r="AV205" s="802">
        <f t="shared" si="293"/>
        <v>0</v>
      </c>
      <c r="AW205" s="802">
        <f t="shared" si="293"/>
        <v>35535.5</v>
      </c>
    </row>
    <row r="206" spans="2:55" s="196" customFormat="1" ht="33">
      <c r="B206" s="770"/>
      <c r="C206" s="851" t="s">
        <v>802</v>
      </c>
      <c r="D206" s="832"/>
      <c r="E206" s="812"/>
      <c r="F206" s="812"/>
      <c r="G206" s="802"/>
      <c r="H206" s="875"/>
      <c r="I206" s="802"/>
      <c r="J206" s="813"/>
      <c r="K206" s="812"/>
      <c r="L206" s="812"/>
      <c r="M206" s="813"/>
      <c r="N206" s="812"/>
      <c r="O206" s="813"/>
      <c r="P206" s="812"/>
      <c r="Q206" s="812"/>
      <c r="R206" s="802"/>
      <c r="S206" s="802"/>
      <c r="T206" s="802"/>
      <c r="U206" s="802"/>
      <c r="V206" s="802"/>
      <c r="W206" s="802"/>
      <c r="X206" s="802"/>
      <c r="Y206" s="802"/>
      <c r="Z206" s="802"/>
      <c r="AA206" s="802"/>
      <c r="AB206" s="802"/>
      <c r="AC206" s="876"/>
      <c r="AD206" s="876"/>
      <c r="AE206" s="833"/>
      <c r="AF206" s="833"/>
      <c r="AG206" s="818"/>
      <c r="AH206" s="833"/>
      <c r="AI206" s="828"/>
      <c r="AJ206" s="828"/>
      <c r="AK206" s="828"/>
      <c r="AL206" s="828"/>
      <c r="AM206" s="828"/>
      <c r="AN206" s="828"/>
      <c r="AO206" s="830"/>
      <c r="AP206" s="830"/>
      <c r="AQ206" s="830"/>
      <c r="AR206" s="830"/>
      <c r="AS206" s="830"/>
      <c r="AT206" s="835"/>
      <c r="AU206" s="835"/>
      <c r="AV206" s="828"/>
      <c r="AW206" s="944"/>
    </row>
    <row r="207" spans="2:55" s="196" customFormat="1" ht="63">
      <c r="B207" s="770"/>
      <c r="C207" s="819" t="s">
        <v>1444</v>
      </c>
      <c r="D207" s="820"/>
      <c r="E207" s="831" t="s">
        <v>1461</v>
      </c>
      <c r="F207" s="770">
        <v>3</v>
      </c>
      <c r="G207" s="821">
        <v>3414</v>
      </c>
      <c r="H207" s="821"/>
      <c r="I207" s="821"/>
      <c r="J207" s="821"/>
      <c r="K207" s="821"/>
      <c r="L207" s="821"/>
      <c r="M207" s="821"/>
      <c r="N207" s="821"/>
      <c r="O207" s="821"/>
      <c r="P207" s="821"/>
      <c r="Q207" s="821"/>
      <c r="R207" s="821">
        <f>G207+I207+K207+L207+N207+P207+Q207</f>
        <v>3414</v>
      </c>
      <c r="S207" s="821">
        <v>1</v>
      </c>
      <c r="T207" s="831"/>
      <c r="U207" s="831"/>
      <c r="V207" s="824">
        <v>0.1</v>
      </c>
      <c r="W207" s="821">
        <f>R207*V207</f>
        <v>341.40000000000003</v>
      </c>
      <c r="X207" s="770"/>
      <c r="Y207" s="824"/>
      <c r="Z207" s="821"/>
      <c r="AA207" s="821">
        <f>AH207</f>
        <v>3286</v>
      </c>
      <c r="AB207" s="821">
        <f>(R207+Z207+U207+W207)*S207+AA207</f>
        <v>7041.4</v>
      </c>
      <c r="AC207" s="825">
        <f>AF207</f>
        <v>0</v>
      </c>
      <c r="AD207" s="825">
        <f>AB207+AC207</f>
        <v>7041.4</v>
      </c>
      <c r="AE207" s="826">
        <f>AB207</f>
        <v>7041.4</v>
      </c>
      <c r="AF207" s="826">
        <f>AE207-AB207</f>
        <v>0</v>
      </c>
      <c r="AG207" s="827">
        <f>6700*S207</f>
        <v>6700</v>
      </c>
      <c r="AH207" s="826">
        <f>AG207-(R207*S207)</f>
        <v>3286</v>
      </c>
      <c r="AI207" s="828">
        <f>G207*S207</f>
        <v>3414</v>
      </c>
      <c r="AJ207" s="828">
        <f>G207*T207</f>
        <v>0</v>
      </c>
      <c r="AK207" s="828">
        <f>R207*S207</f>
        <v>3414</v>
      </c>
      <c r="AL207" s="828">
        <f>R207*T207</f>
        <v>0</v>
      </c>
      <c r="AM207" s="828">
        <f t="shared" ref="AM207:AN211" si="294">AK207-AI207</f>
        <v>0</v>
      </c>
      <c r="AN207" s="828">
        <f t="shared" si="294"/>
        <v>0</v>
      </c>
      <c r="AO207" s="830">
        <f>Z207*S207</f>
        <v>0</v>
      </c>
      <c r="AP207" s="830">
        <f>Z207*T207</f>
        <v>0</v>
      </c>
      <c r="AQ207" s="830">
        <f>AA207</f>
        <v>3286</v>
      </c>
      <c r="AR207" s="830">
        <f>W207*S207</f>
        <v>341.40000000000003</v>
      </c>
      <c r="AS207" s="830">
        <f>W207*T207</f>
        <v>0</v>
      </c>
      <c r="AT207" s="835">
        <f t="shared" ref="AT207:AT266" si="295">AK207</f>
        <v>3414</v>
      </c>
      <c r="AU207" s="835">
        <f t="shared" ref="AU207:AU266" si="296">AL207</f>
        <v>0</v>
      </c>
      <c r="AV207" s="828"/>
      <c r="AW207" s="944">
        <f>AT207+AU207-AV207</f>
        <v>3414</v>
      </c>
    </row>
    <row r="208" spans="2:55" s="196" customFormat="1" ht="63">
      <c r="B208" s="770"/>
      <c r="C208" s="819" t="s">
        <v>1444</v>
      </c>
      <c r="D208" s="820"/>
      <c r="E208" s="831" t="s">
        <v>1462</v>
      </c>
      <c r="F208" s="770">
        <v>3</v>
      </c>
      <c r="G208" s="821">
        <v>3414</v>
      </c>
      <c r="H208" s="821"/>
      <c r="I208" s="821"/>
      <c r="J208" s="821"/>
      <c r="K208" s="821"/>
      <c r="L208" s="821"/>
      <c r="M208" s="821"/>
      <c r="N208" s="821"/>
      <c r="O208" s="821"/>
      <c r="P208" s="821"/>
      <c r="Q208" s="821"/>
      <c r="R208" s="821">
        <f>G208+I208+K208+L208+N208+P208+Q208</f>
        <v>3414</v>
      </c>
      <c r="S208" s="821">
        <v>1</v>
      </c>
      <c r="T208" s="821"/>
      <c r="U208" s="821"/>
      <c r="V208" s="824">
        <v>0.1</v>
      </c>
      <c r="W208" s="821">
        <f>R208*V208</f>
        <v>341.40000000000003</v>
      </c>
      <c r="X208" s="770"/>
      <c r="Y208" s="824"/>
      <c r="Z208" s="821"/>
      <c r="AA208" s="821">
        <f>AH208</f>
        <v>3286</v>
      </c>
      <c r="AB208" s="821">
        <f>(R208+Z208+U208+W208)*S208+AA208</f>
        <v>7041.4</v>
      </c>
      <c r="AC208" s="825">
        <f>AF208</f>
        <v>0</v>
      </c>
      <c r="AD208" s="825">
        <f>AB208+AC208</f>
        <v>7041.4</v>
      </c>
      <c r="AE208" s="826">
        <f>AB208</f>
        <v>7041.4</v>
      </c>
      <c r="AF208" s="826">
        <f>AE208-AB208</f>
        <v>0</v>
      </c>
      <c r="AG208" s="827">
        <f>6700*S208</f>
        <v>6700</v>
      </c>
      <c r="AH208" s="826">
        <f>AG208-(R208*S208)</f>
        <v>3286</v>
      </c>
      <c r="AI208" s="828">
        <f>G208*S208</f>
        <v>3414</v>
      </c>
      <c r="AJ208" s="828">
        <f>G208*T208</f>
        <v>0</v>
      </c>
      <c r="AK208" s="828">
        <f>R208*S208</f>
        <v>3414</v>
      </c>
      <c r="AL208" s="828">
        <f>R208*T208</f>
        <v>0</v>
      </c>
      <c r="AM208" s="828">
        <f t="shared" si="294"/>
        <v>0</v>
      </c>
      <c r="AN208" s="828">
        <f t="shared" si="294"/>
        <v>0</v>
      </c>
      <c r="AO208" s="830">
        <f>Z208*S208</f>
        <v>0</v>
      </c>
      <c r="AP208" s="830">
        <f>Z208*T208</f>
        <v>0</v>
      </c>
      <c r="AQ208" s="830">
        <f>AA208</f>
        <v>3286</v>
      </c>
      <c r="AR208" s="830">
        <f>W208*S208</f>
        <v>341.40000000000003</v>
      </c>
      <c r="AS208" s="830">
        <f>W208*T208</f>
        <v>0</v>
      </c>
      <c r="AT208" s="835">
        <f t="shared" si="295"/>
        <v>3414</v>
      </c>
      <c r="AU208" s="835">
        <f t="shared" si="296"/>
        <v>0</v>
      </c>
      <c r="AV208" s="828"/>
      <c r="AW208" s="944">
        <f>AT208+AU208-AV208</f>
        <v>3414</v>
      </c>
    </row>
    <row r="209" spans="2:55" s="196" customFormat="1" ht="63">
      <c r="B209" s="770"/>
      <c r="C209" s="819" t="s">
        <v>1444</v>
      </c>
      <c r="D209" s="820"/>
      <c r="E209" s="770" t="s">
        <v>593</v>
      </c>
      <c r="F209" s="770">
        <v>3</v>
      </c>
      <c r="G209" s="821">
        <v>3414</v>
      </c>
      <c r="H209" s="821"/>
      <c r="I209" s="821"/>
      <c r="J209" s="821"/>
      <c r="K209" s="821"/>
      <c r="L209" s="821"/>
      <c r="M209" s="821"/>
      <c r="N209" s="821"/>
      <c r="O209" s="821"/>
      <c r="P209" s="821"/>
      <c r="Q209" s="821"/>
      <c r="R209" s="821">
        <f>G209+I209+K209+L209+N209+P209+Q209</f>
        <v>3414</v>
      </c>
      <c r="S209" s="821">
        <v>1</v>
      </c>
      <c r="T209" s="821"/>
      <c r="U209" s="821"/>
      <c r="V209" s="824">
        <v>0.1</v>
      </c>
      <c r="W209" s="821">
        <f>R209*V209</f>
        <v>341.40000000000003</v>
      </c>
      <c r="X209" s="770"/>
      <c r="Y209" s="824"/>
      <c r="Z209" s="821"/>
      <c r="AA209" s="821">
        <f>AH209</f>
        <v>3286</v>
      </c>
      <c r="AB209" s="821">
        <f>(R209+Z209+U209+W209)*S209+AA209</f>
        <v>7041.4</v>
      </c>
      <c r="AC209" s="825">
        <f>AF209</f>
        <v>0</v>
      </c>
      <c r="AD209" s="825">
        <f>AB209+AC209</f>
        <v>7041.4</v>
      </c>
      <c r="AE209" s="826">
        <f>AB209</f>
        <v>7041.4</v>
      </c>
      <c r="AF209" s="826">
        <f>AE209-AB209</f>
        <v>0</v>
      </c>
      <c r="AG209" s="827">
        <f>6700*S209</f>
        <v>6700</v>
      </c>
      <c r="AH209" s="826">
        <f>AG209-(R209*S209)</f>
        <v>3286</v>
      </c>
      <c r="AI209" s="828">
        <f>G209*S209</f>
        <v>3414</v>
      </c>
      <c r="AJ209" s="828">
        <f>G209*T209</f>
        <v>0</v>
      </c>
      <c r="AK209" s="828">
        <f>R209*S209</f>
        <v>3414</v>
      </c>
      <c r="AL209" s="828">
        <f>R209*T209</f>
        <v>0</v>
      </c>
      <c r="AM209" s="828">
        <f t="shared" si="294"/>
        <v>0</v>
      </c>
      <c r="AN209" s="828">
        <f t="shared" si="294"/>
        <v>0</v>
      </c>
      <c r="AO209" s="830">
        <f>Z209*S209</f>
        <v>0</v>
      </c>
      <c r="AP209" s="830">
        <f>Z209*T209</f>
        <v>0</v>
      </c>
      <c r="AQ209" s="830">
        <f>AA209</f>
        <v>3286</v>
      </c>
      <c r="AR209" s="830">
        <f>W209*S209</f>
        <v>341.40000000000003</v>
      </c>
      <c r="AS209" s="830">
        <f>W209*T209</f>
        <v>0</v>
      </c>
      <c r="AT209" s="835">
        <f t="shared" si="295"/>
        <v>3414</v>
      </c>
      <c r="AU209" s="835">
        <f t="shared" si="296"/>
        <v>0</v>
      </c>
      <c r="AV209" s="828"/>
      <c r="AW209" s="944">
        <f>AT209+AU209-AV209</f>
        <v>3414</v>
      </c>
    </row>
    <row r="210" spans="2:55" s="196" customFormat="1" ht="63">
      <c r="B210" s="770"/>
      <c r="C210" s="819" t="s">
        <v>1444</v>
      </c>
      <c r="D210" s="820"/>
      <c r="E210" s="831" t="s">
        <v>1463</v>
      </c>
      <c r="F210" s="770">
        <v>3</v>
      </c>
      <c r="G210" s="821">
        <v>3414</v>
      </c>
      <c r="H210" s="821"/>
      <c r="I210" s="821"/>
      <c r="J210" s="821"/>
      <c r="K210" s="821"/>
      <c r="L210" s="821"/>
      <c r="M210" s="821"/>
      <c r="N210" s="821"/>
      <c r="O210" s="821"/>
      <c r="P210" s="821"/>
      <c r="Q210" s="821"/>
      <c r="R210" s="821">
        <f>G210+I210+K210+L210+N210+P210+Q210</f>
        <v>3414</v>
      </c>
      <c r="S210" s="821">
        <v>1</v>
      </c>
      <c r="T210" s="821"/>
      <c r="U210" s="821"/>
      <c r="V210" s="824">
        <v>0.1</v>
      </c>
      <c r="W210" s="821">
        <f>R210*V210</f>
        <v>341.40000000000003</v>
      </c>
      <c r="X210" s="770"/>
      <c r="Y210" s="824"/>
      <c r="Z210" s="821"/>
      <c r="AA210" s="821">
        <f>AH210</f>
        <v>3286</v>
      </c>
      <c r="AB210" s="821">
        <f>(R210+Z210+U210+W210)*S210+AA210</f>
        <v>7041.4</v>
      </c>
      <c r="AC210" s="825">
        <f>AF210</f>
        <v>0</v>
      </c>
      <c r="AD210" s="825">
        <f>AB210+AC210</f>
        <v>7041.4</v>
      </c>
      <c r="AE210" s="826">
        <f>AB210</f>
        <v>7041.4</v>
      </c>
      <c r="AF210" s="826">
        <f>AE210-AB210</f>
        <v>0</v>
      </c>
      <c r="AG210" s="827">
        <f>6700*S210</f>
        <v>6700</v>
      </c>
      <c r="AH210" s="826">
        <f>AG210-(R210*S210)</f>
        <v>3286</v>
      </c>
      <c r="AI210" s="828">
        <f>G210*S210</f>
        <v>3414</v>
      </c>
      <c r="AJ210" s="828">
        <f>G210*T210</f>
        <v>0</v>
      </c>
      <c r="AK210" s="828">
        <f>R210*S210</f>
        <v>3414</v>
      </c>
      <c r="AL210" s="828">
        <f>R210*T210</f>
        <v>0</v>
      </c>
      <c r="AM210" s="828">
        <f t="shared" si="294"/>
        <v>0</v>
      </c>
      <c r="AN210" s="828">
        <f t="shared" si="294"/>
        <v>0</v>
      </c>
      <c r="AO210" s="830">
        <f>Z210*S210</f>
        <v>0</v>
      </c>
      <c r="AP210" s="830">
        <f>Z210*T210</f>
        <v>0</v>
      </c>
      <c r="AQ210" s="830">
        <f>AA210</f>
        <v>3286</v>
      </c>
      <c r="AR210" s="830">
        <f>W210*S210</f>
        <v>341.40000000000003</v>
      </c>
      <c r="AS210" s="830">
        <f>W210*T210</f>
        <v>0</v>
      </c>
      <c r="AT210" s="835">
        <f t="shared" si="295"/>
        <v>3414</v>
      </c>
      <c r="AU210" s="835">
        <f t="shared" si="296"/>
        <v>0</v>
      </c>
      <c r="AV210" s="828"/>
      <c r="AW210" s="944">
        <f>AT210+AU210-AV210</f>
        <v>3414</v>
      </c>
    </row>
    <row r="211" spans="2:55" s="196" customFormat="1" ht="63">
      <c r="B211" s="770"/>
      <c r="C211" s="819" t="s">
        <v>1444</v>
      </c>
      <c r="D211" s="820"/>
      <c r="E211" s="831" t="s">
        <v>594</v>
      </c>
      <c r="F211" s="770">
        <v>3</v>
      </c>
      <c r="G211" s="821">
        <v>3414</v>
      </c>
      <c r="H211" s="821"/>
      <c r="I211" s="821"/>
      <c r="J211" s="821"/>
      <c r="K211" s="821"/>
      <c r="L211" s="821"/>
      <c r="M211" s="821"/>
      <c r="N211" s="821"/>
      <c r="O211" s="821"/>
      <c r="P211" s="831"/>
      <c r="Q211" s="831"/>
      <c r="R211" s="821">
        <f>G211+I211+K211+L211+N211+P211+Q211</f>
        <v>3414</v>
      </c>
      <c r="S211" s="821">
        <v>1</v>
      </c>
      <c r="T211" s="821"/>
      <c r="U211" s="821"/>
      <c r="V211" s="824">
        <v>0.1</v>
      </c>
      <c r="W211" s="821">
        <f>R211*V211</f>
        <v>341.40000000000003</v>
      </c>
      <c r="X211" s="770"/>
      <c r="Y211" s="824"/>
      <c r="Z211" s="821"/>
      <c r="AA211" s="821">
        <f>AH211</f>
        <v>3286</v>
      </c>
      <c r="AB211" s="821">
        <f>(R211+Z211+U211+W211)*S211+AA211</f>
        <v>7041.4</v>
      </c>
      <c r="AC211" s="825">
        <f>AF211</f>
        <v>0</v>
      </c>
      <c r="AD211" s="825">
        <f>AB211+AC211</f>
        <v>7041.4</v>
      </c>
      <c r="AE211" s="826">
        <f>AB211</f>
        <v>7041.4</v>
      </c>
      <c r="AF211" s="826">
        <f>AE211-AB211</f>
        <v>0</v>
      </c>
      <c r="AG211" s="827">
        <f>6700*S211</f>
        <v>6700</v>
      </c>
      <c r="AH211" s="826">
        <f>AG211-(R211*S211)</f>
        <v>3286</v>
      </c>
      <c r="AI211" s="828">
        <f>G211*S211</f>
        <v>3414</v>
      </c>
      <c r="AJ211" s="828">
        <f>G211*T211</f>
        <v>0</v>
      </c>
      <c r="AK211" s="828">
        <f>R211*S211</f>
        <v>3414</v>
      </c>
      <c r="AL211" s="828">
        <f>R211*T211</f>
        <v>0</v>
      </c>
      <c r="AM211" s="828">
        <f t="shared" si="294"/>
        <v>0</v>
      </c>
      <c r="AN211" s="828">
        <f t="shared" si="294"/>
        <v>0</v>
      </c>
      <c r="AO211" s="830">
        <f>Z211*S211</f>
        <v>0</v>
      </c>
      <c r="AP211" s="830">
        <f>Z211*T211</f>
        <v>0</v>
      </c>
      <c r="AQ211" s="830">
        <f>AA211</f>
        <v>3286</v>
      </c>
      <c r="AR211" s="830">
        <f>W211*S211</f>
        <v>341.40000000000003</v>
      </c>
      <c r="AS211" s="830">
        <f>W211*T211</f>
        <v>0</v>
      </c>
      <c r="AT211" s="835">
        <f t="shared" si="295"/>
        <v>3414</v>
      </c>
      <c r="AU211" s="835">
        <f t="shared" si="296"/>
        <v>0</v>
      </c>
      <c r="AV211" s="828"/>
      <c r="AW211" s="944">
        <f>AT211+AU211-AV211</f>
        <v>3414</v>
      </c>
    </row>
    <row r="212" spans="2:55" s="196" customFormat="1" ht="31.5">
      <c r="B212" s="770"/>
      <c r="C212" s="799" t="s">
        <v>504</v>
      </c>
      <c r="D212" s="832"/>
      <c r="E212" s="812"/>
      <c r="F212" s="812"/>
      <c r="G212" s="802">
        <f>SUM(G207:G211)</f>
        <v>17070</v>
      </c>
      <c r="H212" s="813"/>
      <c r="I212" s="812"/>
      <c r="J212" s="813"/>
      <c r="K212" s="812"/>
      <c r="L212" s="812"/>
      <c r="M212" s="813"/>
      <c r="N212" s="812"/>
      <c r="O212" s="813"/>
      <c r="P212" s="812"/>
      <c r="Q212" s="812"/>
      <c r="R212" s="802">
        <f>SUM(R207:R211)</f>
        <v>17070</v>
      </c>
      <c r="S212" s="802">
        <f>SUM(S207:S211)</f>
        <v>5</v>
      </c>
      <c r="T212" s="802">
        <f>SUM(T207:T211)</f>
        <v>0</v>
      </c>
      <c r="U212" s="803"/>
      <c r="V212" s="802"/>
      <c r="W212" s="802">
        <f>SUM(W207:W211)</f>
        <v>1707.0000000000002</v>
      </c>
      <c r="X212" s="802"/>
      <c r="Y212" s="802"/>
      <c r="Z212" s="802"/>
      <c r="AA212" s="802">
        <f>SUM(AA207:AA211)</f>
        <v>16430</v>
      </c>
      <c r="AB212" s="802">
        <f>SUM(AB207:AB211)</f>
        <v>35207</v>
      </c>
      <c r="AC212" s="802">
        <f t="shared" ref="AC212:AW212" si="297">SUM(AC207:AC211)</f>
        <v>0</v>
      </c>
      <c r="AD212" s="802">
        <f t="shared" si="297"/>
        <v>35207</v>
      </c>
      <c r="AE212" s="802">
        <f t="shared" si="297"/>
        <v>35207</v>
      </c>
      <c r="AF212" s="802">
        <f t="shared" si="297"/>
        <v>0</v>
      </c>
      <c r="AG212" s="802">
        <f t="shared" si="297"/>
        <v>33500</v>
      </c>
      <c r="AH212" s="802">
        <f t="shared" si="297"/>
        <v>16430</v>
      </c>
      <c r="AI212" s="802">
        <f t="shared" si="297"/>
        <v>17070</v>
      </c>
      <c r="AJ212" s="802">
        <f t="shared" si="297"/>
        <v>0</v>
      </c>
      <c r="AK212" s="802">
        <f t="shared" si="297"/>
        <v>17070</v>
      </c>
      <c r="AL212" s="802">
        <f t="shared" si="297"/>
        <v>0</v>
      </c>
      <c r="AM212" s="802">
        <f t="shared" si="297"/>
        <v>0</v>
      </c>
      <c r="AN212" s="802">
        <f t="shared" si="297"/>
        <v>0</v>
      </c>
      <c r="AO212" s="802">
        <f t="shared" si="297"/>
        <v>0</v>
      </c>
      <c r="AP212" s="802">
        <f t="shared" si="297"/>
        <v>0</v>
      </c>
      <c r="AQ212" s="802">
        <f t="shared" si="297"/>
        <v>16430</v>
      </c>
      <c r="AR212" s="802">
        <f t="shared" si="297"/>
        <v>1707.0000000000002</v>
      </c>
      <c r="AS212" s="802">
        <f t="shared" si="297"/>
        <v>0</v>
      </c>
      <c r="AT212" s="802">
        <f t="shared" si="297"/>
        <v>17070</v>
      </c>
      <c r="AU212" s="802">
        <f t="shared" si="297"/>
        <v>0</v>
      </c>
      <c r="AV212" s="802">
        <f t="shared" si="297"/>
        <v>0</v>
      </c>
      <c r="AW212" s="802">
        <f t="shared" si="297"/>
        <v>17070</v>
      </c>
    </row>
    <row r="213" spans="2:55" s="196" customFormat="1" ht="31.5">
      <c r="B213" s="770"/>
      <c r="C213" s="799" t="s">
        <v>1547</v>
      </c>
      <c r="D213" s="832"/>
      <c r="E213" s="812"/>
      <c r="F213" s="812"/>
      <c r="G213" s="804">
        <f>G196+G205+G212</f>
        <v>64805</v>
      </c>
      <c r="H213" s="804"/>
      <c r="I213" s="804">
        <f>I196+I205+I212</f>
        <v>1157.2</v>
      </c>
      <c r="J213" s="804"/>
      <c r="K213" s="804"/>
      <c r="L213" s="804"/>
      <c r="M213" s="804"/>
      <c r="N213" s="804"/>
      <c r="O213" s="804"/>
      <c r="P213" s="804"/>
      <c r="Q213" s="804"/>
      <c r="R213" s="804">
        <f>R196+R205+R212</f>
        <v>65962.2</v>
      </c>
      <c r="S213" s="802">
        <f>S196+S205+S212</f>
        <v>14</v>
      </c>
      <c r="T213" s="802">
        <f>T196+T205+T212</f>
        <v>0</v>
      </c>
      <c r="U213" s="804"/>
      <c r="V213" s="804"/>
      <c r="W213" s="804">
        <f>W196+W205+W212</f>
        <v>1707.0000000000002</v>
      </c>
      <c r="X213" s="804"/>
      <c r="Y213" s="804"/>
      <c r="Z213" s="804">
        <f>Z196+Z205+Z212</f>
        <v>14167.16</v>
      </c>
      <c r="AA213" s="804">
        <f>AA196+AA205+AA212</f>
        <v>18091.5</v>
      </c>
      <c r="AB213" s="804">
        <f>AB196+AB205+AB212</f>
        <v>99927.86</v>
      </c>
      <c r="AC213" s="804">
        <f t="shared" ref="AC213:AW213" si="298">AC196+AC205+AC212</f>
        <v>69779.14</v>
      </c>
      <c r="AD213" s="804">
        <f t="shared" si="298"/>
        <v>169707</v>
      </c>
      <c r="AE213" s="804">
        <f t="shared" si="298"/>
        <v>169707</v>
      </c>
      <c r="AF213" s="804">
        <f t="shared" si="298"/>
        <v>69779.14</v>
      </c>
      <c r="AG213" s="804">
        <f t="shared" si="298"/>
        <v>93800</v>
      </c>
      <c r="AH213" s="804">
        <f t="shared" si="298"/>
        <v>22055.21</v>
      </c>
      <c r="AI213" s="804">
        <f t="shared" si="298"/>
        <v>64805</v>
      </c>
      <c r="AJ213" s="804">
        <f t="shared" si="298"/>
        <v>0</v>
      </c>
      <c r="AK213" s="804">
        <f t="shared" si="298"/>
        <v>65962.2</v>
      </c>
      <c r="AL213" s="804">
        <f t="shared" si="298"/>
        <v>0</v>
      </c>
      <c r="AM213" s="804">
        <f t="shared" si="298"/>
        <v>1157.1999999999998</v>
      </c>
      <c r="AN213" s="804">
        <f t="shared" si="298"/>
        <v>0</v>
      </c>
      <c r="AO213" s="804">
        <f t="shared" si="298"/>
        <v>14167.16</v>
      </c>
      <c r="AP213" s="804">
        <f t="shared" si="298"/>
        <v>0</v>
      </c>
      <c r="AQ213" s="804">
        <f t="shared" si="298"/>
        <v>18091.5</v>
      </c>
      <c r="AR213" s="804">
        <f t="shared" si="298"/>
        <v>1707.0000000000002</v>
      </c>
      <c r="AS213" s="804">
        <f t="shared" si="298"/>
        <v>0</v>
      </c>
      <c r="AT213" s="804">
        <f t="shared" si="298"/>
        <v>65962.2</v>
      </c>
      <c r="AU213" s="804">
        <f t="shared" si="298"/>
        <v>0</v>
      </c>
      <c r="AV213" s="804">
        <f t="shared" si="298"/>
        <v>0</v>
      </c>
      <c r="AW213" s="804">
        <f t="shared" si="298"/>
        <v>65962.2</v>
      </c>
    </row>
    <row r="214" spans="2:55" s="196" customFormat="1" ht="33">
      <c r="B214" s="770"/>
      <c r="C214" s="810" t="s">
        <v>545</v>
      </c>
      <c r="D214" s="811"/>
      <c r="E214" s="812"/>
      <c r="F214" s="812"/>
      <c r="G214" s="812"/>
      <c r="H214" s="813"/>
      <c r="I214" s="812"/>
      <c r="J214" s="813"/>
      <c r="K214" s="812"/>
      <c r="L214" s="812"/>
      <c r="M214" s="813"/>
      <c r="N214" s="812"/>
      <c r="O214" s="813"/>
      <c r="P214" s="812"/>
      <c r="Q214" s="812"/>
      <c r="R214" s="812"/>
      <c r="S214" s="812"/>
      <c r="T214" s="812"/>
      <c r="U214" s="812"/>
      <c r="V214" s="812"/>
      <c r="W214" s="812"/>
      <c r="X214" s="812"/>
      <c r="Y214" s="812"/>
      <c r="Z214" s="812"/>
      <c r="AA214" s="812"/>
      <c r="AB214" s="812"/>
      <c r="AC214" s="834"/>
      <c r="AD214" s="834"/>
      <c r="AE214" s="815"/>
      <c r="AF214" s="815"/>
      <c r="AG214" s="816"/>
      <c r="AH214" s="815"/>
      <c r="AI214" s="828">
        <f>G214*S214</f>
        <v>0</v>
      </c>
      <c r="AJ214" s="828">
        <f>G214*T214</f>
        <v>0</v>
      </c>
      <c r="AK214" s="828">
        <f>R214*S214</f>
        <v>0</v>
      </c>
      <c r="AL214" s="828">
        <f>R214*T214</f>
        <v>0</v>
      </c>
      <c r="AM214" s="828">
        <f t="shared" ref="AM214:AN217" si="299">AK214-AI214</f>
        <v>0</v>
      </c>
      <c r="AN214" s="828">
        <f t="shared" si="299"/>
        <v>0</v>
      </c>
      <c r="AO214" s="830">
        <f>Z214*S214</f>
        <v>0</v>
      </c>
      <c r="AP214" s="830">
        <f>Z214*T214</f>
        <v>0</v>
      </c>
      <c r="AQ214" s="830">
        <f>AA214</f>
        <v>0</v>
      </c>
      <c r="AR214" s="830">
        <f>W214*S214</f>
        <v>0</v>
      </c>
      <c r="AS214" s="830">
        <f>W214*T214</f>
        <v>0</v>
      </c>
      <c r="AT214" s="835">
        <f t="shared" si="295"/>
        <v>0</v>
      </c>
      <c r="AU214" s="835">
        <f t="shared" si="296"/>
        <v>0</v>
      </c>
      <c r="AV214" s="828"/>
      <c r="AW214" s="944">
        <f>AT214+AU214-AV214</f>
        <v>0</v>
      </c>
    </row>
    <row r="215" spans="2:55" s="196" customFormat="1" ht="33">
      <c r="B215" s="770"/>
      <c r="C215" s="851" t="s">
        <v>1720</v>
      </c>
      <c r="D215" s="845"/>
      <c r="E215" s="846"/>
      <c r="F215" s="846"/>
      <c r="G215" s="846"/>
      <c r="H215" s="847"/>
      <c r="I215" s="846"/>
      <c r="J215" s="847"/>
      <c r="K215" s="846"/>
      <c r="L215" s="846"/>
      <c r="M215" s="847"/>
      <c r="N215" s="846"/>
      <c r="O215" s="847"/>
      <c r="P215" s="846"/>
      <c r="Q215" s="846"/>
      <c r="R215" s="846"/>
      <c r="S215" s="846"/>
      <c r="T215" s="846"/>
      <c r="U215" s="846"/>
      <c r="V215" s="846"/>
      <c r="W215" s="846"/>
      <c r="X215" s="846"/>
      <c r="Y215" s="846"/>
      <c r="Z215" s="846"/>
      <c r="AA215" s="846"/>
      <c r="AB215" s="846"/>
      <c r="AC215" s="848"/>
      <c r="AD215" s="848"/>
      <c r="AE215" s="849"/>
      <c r="AF215" s="849"/>
      <c r="AG215" s="850"/>
      <c r="AH215" s="849"/>
      <c r="AI215" s="828">
        <f>G215*S215</f>
        <v>0</v>
      </c>
      <c r="AJ215" s="828">
        <f>G215*T215</f>
        <v>0</v>
      </c>
      <c r="AK215" s="828">
        <f>R215*S215</f>
        <v>0</v>
      </c>
      <c r="AL215" s="828">
        <f>R215*T215</f>
        <v>0</v>
      </c>
      <c r="AM215" s="828">
        <f t="shared" si="299"/>
        <v>0</v>
      </c>
      <c r="AN215" s="828">
        <f t="shared" si="299"/>
        <v>0</v>
      </c>
      <c r="AO215" s="830">
        <f>Z215*S215</f>
        <v>0</v>
      </c>
      <c r="AP215" s="830">
        <f>Z215*T215</f>
        <v>0</v>
      </c>
      <c r="AQ215" s="830">
        <f>AA215</f>
        <v>0</v>
      </c>
      <c r="AR215" s="830">
        <f>W215*S215</f>
        <v>0</v>
      </c>
      <c r="AS215" s="830">
        <f>W215*T215</f>
        <v>0</v>
      </c>
      <c r="AT215" s="835">
        <f t="shared" si="295"/>
        <v>0</v>
      </c>
      <c r="AU215" s="835">
        <f t="shared" si="296"/>
        <v>0</v>
      </c>
      <c r="AV215" s="828"/>
      <c r="AW215" s="944">
        <f>AT215+AU215-AV215</f>
        <v>0</v>
      </c>
      <c r="BC215" s="197"/>
    </row>
    <row r="216" spans="2:55" s="196" customFormat="1" ht="33">
      <c r="B216" s="770"/>
      <c r="C216" s="819" t="s">
        <v>1264</v>
      </c>
      <c r="D216" s="820"/>
      <c r="E216" s="770" t="s">
        <v>511</v>
      </c>
      <c r="F216" s="770">
        <v>13</v>
      </c>
      <c r="G216" s="821">
        <v>6567</v>
      </c>
      <c r="H216" s="770"/>
      <c r="I216" s="770"/>
      <c r="J216" s="770"/>
      <c r="K216" s="770"/>
      <c r="L216" s="770"/>
      <c r="M216" s="770"/>
      <c r="N216" s="770"/>
      <c r="O216" s="770"/>
      <c r="P216" s="770"/>
      <c r="Q216" s="770"/>
      <c r="R216" s="821">
        <f>G216+I216+K216+L216+N216+P216+Q216</f>
        <v>6567</v>
      </c>
      <c r="S216" s="821">
        <v>0.5</v>
      </c>
      <c r="T216" s="770"/>
      <c r="U216" s="770"/>
      <c r="V216" s="770"/>
      <c r="W216" s="770"/>
      <c r="X216" s="770"/>
      <c r="Y216" s="824">
        <v>0</v>
      </c>
      <c r="Z216" s="821">
        <f>R216*Y216</f>
        <v>0</v>
      </c>
      <c r="AA216" s="821">
        <f>AH216</f>
        <v>66.5</v>
      </c>
      <c r="AB216" s="821">
        <f>(R216+Z216)*S216+AA216</f>
        <v>3350</v>
      </c>
      <c r="AC216" s="825">
        <f>AF216</f>
        <v>6650</v>
      </c>
      <c r="AD216" s="825">
        <f>AB216+AC216</f>
        <v>10000</v>
      </c>
      <c r="AE216" s="826">
        <f>20000*S216</f>
        <v>10000</v>
      </c>
      <c r="AF216" s="826">
        <f>AE216-AB216</f>
        <v>6650</v>
      </c>
      <c r="AG216" s="827">
        <f>6700*S216</f>
        <v>3350</v>
      </c>
      <c r="AH216" s="826">
        <f>AG216-(R216*S216)</f>
        <v>66.5</v>
      </c>
      <c r="AI216" s="828">
        <f>G216*S216</f>
        <v>3283.5</v>
      </c>
      <c r="AJ216" s="828">
        <f>G216*T216</f>
        <v>0</v>
      </c>
      <c r="AK216" s="828">
        <f>R216*S216</f>
        <v>3283.5</v>
      </c>
      <c r="AL216" s="828">
        <f>R216*T216</f>
        <v>0</v>
      </c>
      <c r="AM216" s="828">
        <f t="shared" si="299"/>
        <v>0</v>
      </c>
      <c r="AN216" s="828">
        <f t="shared" si="299"/>
        <v>0</v>
      </c>
      <c r="AO216" s="830">
        <f>Z216*S216</f>
        <v>0</v>
      </c>
      <c r="AP216" s="830">
        <f>Z216*T216</f>
        <v>0</v>
      </c>
      <c r="AQ216" s="830">
        <f>AA216</f>
        <v>66.5</v>
      </c>
      <c r="AR216" s="830">
        <f>W216*S216</f>
        <v>0</v>
      </c>
      <c r="AS216" s="830">
        <f>W216*T216</f>
        <v>0</v>
      </c>
      <c r="AT216" s="835">
        <f t="shared" si="295"/>
        <v>3283.5</v>
      </c>
      <c r="AU216" s="835">
        <f t="shared" si="296"/>
        <v>0</v>
      </c>
      <c r="AV216" s="828"/>
      <c r="AW216" s="944">
        <f>AT216+AU216-AV216</f>
        <v>3283.5</v>
      </c>
    </row>
    <row r="217" spans="2:55" s="196" customFormat="1" ht="58.5">
      <c r="B217" s="770"/>
      <c r="C217" s="819" t="s">
        <v>1264</v>
      </c>
      <c r="D217" s="820" t="s">
        <v>546</v>
      </c>
      <c r="E217" s="770" t="s">
        <v>547</v>
      </c>
      <c r="F217" s="770">
        <v>13</v>
      </c>
      <c r="G217" s="821">
        <v>6567</v>
      </c>
      <c r="H217" s="770"/>
      <c r="I217" s="770"/>
      <c r="J217" s="770"/>
      <c r="K217" s="770"/>
      <c r="L217" s="770"/>
      <c r="M217" s="770"/>
      <c r="N217" s="770"/>
      <c r="O217" s="770"/>
      <c r="P217" s="770"/>
      <c r="Q217" s="770"/>
      <c r="R217" s="821">
        <f>G217+I217+K217+L217+N217+P217+Q217</f>
        <v>6567</v>
      </c>
      <c r="S217" s="821"/>
      <c r="T217" s="770">
        <v>0.5</v>
      </c>
      <c r="U217" s="770"/>
      <c r="V217" s="770"/>
      <c r="W217" s="770"/>
      <c r="X217" s="770">
        <v>13</v>
      </c>
      <c r="Y217" s="824">
        <v>0.2</v>
      </c>
      <c r="Z217" s="821">
        <f>R217*Y217</f>
        <v>1313.4</v>
      </c>
      <c r="AA217" s="821"/>
      <c r="AB217" s="821">
        <f>(R217+Z217)*T217</f>
        <v>3940.2</v>
      </c>
      <c r="AC217" s="825">
        <f>AF217</f>
        <v>6059.8</v>
      </c>
      <c r="AD217" s="825">
        <f>AB217+AC217</f>
        <v>10000</v>
      </c>
      <c r="AE217" s="826">
        <f>20000*T217</f>
        <v>10000</v>
      </c>
      <c r="AF217" s="826">
        <f>AE217-AB217</f>
        <v>6059.8</v>
      </c>
      <c r="AG217" s="827">
        <f>6700*T217</f>
        <v>3350</v>
      </c>
      <c r="AH217" s="826">
        <f>AB217-AG217</f>
        <v>590.19999999999982</v>
      </c>
      <c r="AI217" s="828">
        <f>G217*S217</f>
        <v>0</v>
      </c>
      <c r="AJ217" s="828">
        <f>G217*T217</f>
        <v>3283.5</v>
      </c>
      <c r="AK217" s="828">
        <f>R217*S217</f>
        <v>0</v>
      </c>
      <c r="AL217" s="828">
        <f>R217*T217</f>
        <v>3283.5</v>
      </c>
      <c r="AM217" s="828">
        <f t="shared" si="299"/>
        <v>0</v>
      </c>
      <c r="AN217" s="828">
        <f t="shared" si="299"/>
        <v>0</v>
      </c>
      <c r="AO217" s="830">
        <f>Z217*S217</f>
        <v>0</v>
      </c>
      <c r="AP217" s="830">
        <f>Z217*T217</f>
        <v>656.7</v>
      </c>
      <c r="AQ217" s="830">
        <f>AA217</f>
        <v>0</v>
      </c>
      <c r="AR217" s="830">
        <f>W217*S217</f>
        <v>0</v>
      </c>
      <c r="AS217" s="830">
        <f>W217*T217</f>
        <v>0</v>
      </c>
      <c r="AT217" s="835">
        <f t="shared" si="295"/>
        <v>0</v>
      </c>
      <c r="AU217" s="835">
        <f t="shared" si="296"/>
        <v>3283.5</v>
      </c>
      <c r="AV217" s="828"/>
      <c r="AW217" s="944">
        <f>AT217+AU217-AV217</f>
        <v>3283.5</v>
      </c>
    </row>
    <row r="218" spans="2:55" s="196" customFormat="1" ht="31.5">
      <c r="B218" s="770"/>
      <c r="C218" s="799" t="s">
        <v>504</v>
      </c>
      <c r="D218" s="832"/>
      <c r="E218" s="812"/>
      <c r="F218" s="812"/>
      <c r="G218" s="802">
        <f>SUM(G216:G217)</f>
        <v>13134</v>
      </c>
      <c r="H218" s="875"/>
      <c r="I218" s="802">
        <f>SUM(I216:I217)</f>
        <v>0</v>
      </c>
      <c r="J218" s="813"/>
      <c r="K218" s="812"/>
      <c r="L218" s="812"/>
      <c r="M218" s="813"/>
      <c r="N218" s="812"/>
      <c r="O218" s="813"/>
      <c r="P218" s="812"/>
      <c r="Q218" s="812"/>
      <c r="R218" s="802">
        <f>SUM(R216:R217)</f>
        <v>13134</v>
      </c>
      <c r="S218" s="802">
        <f>SUM(S216:S217)</f>
        <v>0.5</v>
      </c>
      <c r="T218" s="802">
        <f>SUM(T216:T217)</f>
        <v>0.5</v>
      </c>
      <c r="U218" s="802"/>
      <c r="V218" s="802"/>
      <c r="W218" s="802"/>
      <c r="X218" s="802"/>
      <c r="Y218" s="802"/>
      <c r="Z218" s="802">
        <f t="shared" ref="Z218:AW218" si="300">SUM(Z216:Z217)</f>
        <v>1313.4</v>
      </c>
      <c r="AA218" s="802">
        <f t="shared" si="300"/>
        <v>66.5</v>
      </c>
      <c r="AB218" s="802">
        <f t="shared" si="300"/>
        <v>7290.2</v>
      </c>
      <c r="AC218" s="802">
        <f t="shared" si="300"/>
        <v>12709.8</v>
      </c>
      <c r="AD218" s="802">
        <f t="shared" si="300"/>
        <v>20000</v>
      </c>
      <c r="AE218" s="802">
        <f t="shared" si="300"/>
        <v>20000</v>
      </c>
      <c r="AF218" s="802">
        <f t="shared" si="300"/>
        <v>12709.8</v>
      </c>
      <c r="AG218" s="802">
        <f t="shared" si="300"/>
        <v>6700</v>
      </c>
      <c r="AH218" s="802">
        <f t="shared" si="300"/>
        <v>656.69999999999982</v>
      </c>
      <c r="AI218" s="802">
        <f t="shared" si="300"/>
        <v>3283.5</v>
      </c>
      <c r="AJ218" s="802">
        <f t="shared" si="300"/>
        <v>3283.5</v>
      </c>
      <c r="AK218" s="802">
        <f t="shared" si="300"/>
        <v>3283.5</v>
      </c>
      <c r="AL218" s="802">
        <f t="shared" si="300"/>
        <v>3283.5</v>
      </c>
      <c r="AM218" s="802">
        <f t="shared" si="300"/>
        <v>0</v>
      </c>
      <c r="AN218" s="802">
        <f t="shared" si="300"/>
        <v>0</v>
      </c>
      <c r="AO218" s="802">
        <f t="shared" si="300"/>
        <v>0</v>
      </c>
      <c r="AP218" s="802">
        <f t="shared" si="300"/>
        <v>656.7</v>
      </c>
      <c r="AQ218" s="802">
        <f t="shared" si="300"/>
        <v>66.5</v>
      </c>
      <c r="AR218" s="802">
        <f t="shared" si="300"/>
        <v>0</v>
      </c>
      <c r="AS218" s="802">
        <f t="shared" si="300"/>
        <v>0</v>
      </c>
      <c r="AT218" s="802">
        <f t="shared" si="300"/>
        <v>3283.5</v>
      </c>
      <c r="AU218" s="802">
        <f t="shared" si="300"/>
        <v>3283.5</v>
      </c>
      <c r="AV218" s="802">
        <f t="shared" si="300"/>
        <v>0</v>
      </c>
      <c r="AW218" s="802">
        <f t="shared" si="300"/>
        <v>6567</v>
      </c>
    </row>
    <row r="219" spans="2:55" s="196" customFormat="1" ht="33">
      <c r="B219" s="770"/>
      <c r="C219" s="851" t="s">
        <v>1988</v>
      </c>
      <c r="D219" s="811"/>
      <c r="E219" s="812"/>
      <c r="F219" s="812"/>
      <c r="G219" s="812"/>
      <c r="H219" s="813"/>
      <c r="I219" s="812"/>
      <c r="J219" s="813"/>
      <c r="K219" s="812"/>
      <c r="L219" s="812"/>
      <c r="M219" s="813"/>
      <c r="N219" s="812"/>
      <c r="O219" s="813"/>
      <c r="P219" s="812"/>
      <c r="Q219" s="812"/>
      <c r="R219" s="812"/>
      <c r="S219" s="812"/>
      <c r="T219" s="812"/>
      <c r="U219" s="812"/>
      <c r="V219" s="812"/>
      <c r="W219" s="812"/>
      <c r="X219" s="812"/>
      <c r="Y219" s="812"/>
      <c r="Z219" s="812"/>
      <c r="AA219" s="812"/>
      <c r="AB219" s="812"/>
      <c r="AC219" s="834"/>
      <c r="AD219" s="834"/>
      <c r="AE219" s="815"/>
      <c r="AF219" s="815"/>
      <c r="AG219" s="816"/>
      <c r="AH219" s="815"/>
      <c r="AI219" s="828"/>
      <c r="AJ219" s="828"/>
      <c r="AK219" s="828"/>
      <c r="AL219" s="828"/>
      <c r="AM219" s="828"/>
      <c r="AN219" s="828"/>
      <c r="AO219" s="830"/>
      <c r="AP219" s="830"/>
      <c r="AQ219" s="830"/>
      <c r="AR219" s="830"/>
      <c r="AS219" s="830"/>
      <c r="AT219" s="835"/>
      <c r="AU219" s="835"/>
      <c r="AV219" s="828"/>
      <c r="AW219" s="944"/>
    </row>
    <row r="220" spans="2:55" s="196" customFormat="1" ht="58.5">
      <c r="B220" s="770"/>
      <c r="C220" s="878" t="s">
        <v>1323</v>
      </c>
      <c r="D220" s="820" t="s">
        <v>1677</v>
      </c>
      <c r="E220" s="879" t="s">
        <v>1386</v>
      </c>
      <c r="F220" s="880">
        <v>9</v>
      </c>
      <c r="G220" s="881">
        <v>5005</v>
      </c>
      <c r="H220" s="824">
        <v>0.1</v>
      </c>
      <c r="I220" s="770">
        <f>G220*H220</f>
        <v>500.5</v>
      </c>
      <c r="J220" s="881"/>
      <c r="K220" s="881"/>
      <c r="L220" s="881"/>
      <c r="M220" s="881"/>
      <c r="N220" s="881"/>
      <c r="O220" s="881"/>
      <c r="P220" s="881"/>
      <c r="Q220" s="881"/>
      <c r="R220" s="821">
        <f t="shared" ref="R220:R225" si="301">G220+I220+K220+L220+N220+P220+Q220</f>
        <v>5505.5</v>
      </c>
      <c r="S220" s="881">
        <v>1</v>
      </c>
      <c r="T220" s="881"/>
      <c r="U220" s="881"/>
      <c r="V220" s="881"/>
      <c r="W220" s="881"/>
      <c r="X220" s="880">
        <v>15</v>
      </c>
      <c r="Y220" s="882">
        <v>0.2</v>
      </c>
      <c r="Z220" s="881">
        <f t="shared" ref="Z220:Z225" si="302">R220*Y220</f>
        <v>1101.1000000000001</v>
      </c>
      <c r="AA220" s="821">
        <f t="shared" ref="AA220:AA225" si="303">AH220</f>
        <v>93.399999999999864</v>
      </c>
      <c r="AB220" s="821">
        <f t="shared" ref="AB220:AB225" si="304">(R220+Z220)*S220+AA220</f>
        <v>6700</v>
      </c>
      <c r="AC220" s="825">
        <f t="shared" ref="AC220:AC225" si="305">AF220</f>
        <v>6800</v>
      </c>
      <c r="AD220" s="825">
        <f t="shared" ref="AD220:AD225" si="306">AB220+AC220</f>
        <v>13500</v>
      </c>
      <c r="AE220" s="826">
        <f t="shared" ref="AE220:AE225" si="307">13500*S220</f>
        <v>13500</v>
      </c>
      <c r="AF220" s="826">
        <f t="shared" ref="AF220:AF225" si="308">AE220-AB220</f>
        <v>6800</v>
      </c>
      <c r="AG220" s="827">
        <f t="shared" ref="AG220:AG225" si="309">6700*S220</f>
        <v>6700</v>
      </c>
      <c r="AH220" s="826">
        <f t="shared" ref="AH220:AH225" si="310">AG220-(R220*S220)-Z220</f>
        <v>93.399999999999864</v>
      </c>
      <c r="AI220" s="883">
        <f t="shared" ref="AI220:AI225" si="311">G220*S220</f>
        <v>5005</v>
      </c>
      <c r="AJ220" s="883">
        <f t="shared" ref="AJ220:AJ225" si="312">G220*T220</f>
        <v>0</v>
      </c>
      <c r="AK220" s="883">
        <f t="shared" ref="AK220:AK225" si="313">R220*S220</f>
        <v>5505.5</v>
      </c>
      <c r="AL220" s="883">
        <f t="shared" ref="AL220:AL225" si="314">R220*T220</f>
        <v>0</v>
      </c>
      <c r="AM220" s="883">
        <f t="shared" ref="AM220:AM225" si="315">AK220-AI220</f>
        <v>500.5</v>
      </c>
      <c r="AN220" s="883">
        <f t="shared" ref="AN220:AN225" si="316">AL220-AJ220</f>
        <v>0</v>
      </c>
      <c r="AO220" s="884">
        <f t="shared" ref="AO220:AO225" si="317">Z220*S220</f>
        <v>1101.1000000000001</v>
      </c>
      <c r="AP220" s="884">
        <f t="shared" ref="AP220:AP225" si="318">Z220*T220</f>
        <v>0</v>
      </c>
      <c r="AQ220" s="884">
        <f t="shared" ref="AQ220:AQ225" si="319">AA220</f>
        <v>93.399999999999864</v>
      </c>
      <c r="AR220" s="884">
        <f t="shared" ref="AR220:AR225" si="320">W220*S220</f>
        <v>0</v>
      </c>
      <c r="AS220" s="884">
        <f t="shared" ref="AS220:AS225" si="321">W220*T220</f>
        <v>0</v>
      </c>
      <c r="AT220" s="835">
        <f t="shared" si="295"/>
        <v>5505.5</v>
      </c>
      <c r="AU220" s="835">
        <f t="shared" si="296"/>
        <v>0</v>
      </c>
      <c r="AV220" s="883"/>
      <c r="AW220" s="946">
        <f t="shared" ref="AW220:AW225" si="322">AT220+AU220-AV220</f>
        <v>5505.5</v>
      </c>
    </row>
    <row r="221" spans="2:55" s="196" customFormat="1" ht="74.25" customHeight="1">
      <c r="B221" s="770"/>
      <c r="C221" s="878" t="s">
        <v>1385</v>
      </c>
      <c r="D221" s="820" t="s">
        <v>791</v>
      </c>
      <c r="E221" s="770" t="s">
        <v>1387</v>
      </c>
      <c r="F221" s="880">
        <v>9</v>
      </c>
      <c r="G221" s="881">
        <v>5005</v>
      </c>
      <c r="H221" s="821"/>
      <c r="I221" s="881"/>
      <c r="J221" s="881"/>
      <c r="K221" s="881"/>
      <c r="L221" s="881"/>
      <c r="M221" s="881"/>
      <c r="N221" s="881"/>
      <c r="O221" s="881"/>
      <c r="P221" s="881"/>
      <c r="Q221" s="881"/>
      <c r="R221" s="821">
        <f t="shared" si="301"/>
        <v>5005</v>
      </c>
      <c r="S221" s="881">
        <f>0.5+0.5</f>
        <v>1</v>
      </c>
      <c r="T221" s="881"/>
      <c r="U221" s="881"/>
      <c r="V221" s="881"/>
      <c r="W221" s="881"/>
      <c r="X221" s="880">
        <v>35</v>
      </c>
      <c r="Y221" s="882">
        <v>0.3</v>
      </c>
      <c r="Z221" s="881">
        <f t="shared" si="302"/>
        <v>1501.5</v>
      </c>
      <c r="AA221" s="821">
        <f t="shared" si="303"/>
        <v>193.5</v>
      </c>
      <c r="AB221" s="821">
        <f t="shared" si="304"/>
        <v>6700</v>
      </c>
      <c r="AC221" s="825">
        <f t="shared" si="305"/>
        <v>6800</v>
      </c>
      <c r="AD221" s="825">
        <f t="shared" si="306"/>
        <v>13500</v>
      </c>
      <c r="AE221" s="826">
        <f t="shared" si="307"/>
        <v>13500</v>
      </c>
      <c r="AF221" s="826">
        <f t="shared" si="308"/>
        <v>6800</v>
      </c>
      <c r="AG221" s="827">
        <f t="shared" si="309"/>
        <v>6700</v>
      </c>
      <c r="AH221" s="826">
        <f t="shared" si="310"/>
        <v>193.5</v>
      </c>
      <c r="AI221" s="883">
        <f t="shared" si="311"/>
        <v>5005</v>
      </c>
      <c r="AJ221" s="883">
        <f t="shared" si="312"/>
        <v>0</v>
      </c>
      <c r="AK221" s="883">
        <f t="shared" si="313"/>
        <v>5005</v>
      </c>
      <c r="AL221" s="883">
        <f t="shared" si="314"/>
        <v>0</v>
      </c>
      <c r="AM221" s="883">
        <f t="shared" si="315"/>
        <v>0</v>
      </c>
      <c r="AN221" s="883">
        <f t="shared" si="316"/>
        <v>0</v>
      </c>
      <c r="AO221" s="884">
        <f t="shared" si="317"/>
        <v>1501.5</v>
      </c>
      <c r="AP221" s="884">
        <f t="shared" si="318"/>
        <v>0</v>
      </c>
      <c r="AQ221" s="884">
        <f t="shared" si="319"/>
        <v>193.5</v>
      </c>
      <c r="AR221" s="884">
        <f t="shared" si="320"/>
        <v>0</v>
      </c>
      <c r="AS221" s="884">
        <f t="shared" si="321"/>
        <v>0</v>
      </c>
      <c r="AT221" s="835">
        <f t="shared" si="295"/>
        <v>5005</v>
      </c>
      <c r="AU221" s="835">
        <f t="shared" si="296"/>
        <v>0</v>
      </c>
      <c r="AV221" s="883"/>
      <c r="AW221" s="946">
        <f t="shared" si="322"/>
        <v>5005</v>
      </c>
    </row>
    <row r="222" spans="2:55" s="196" customFormat="1" ht="74.25" customHeight="1">
      <c r="B222" s="770"/>
      <c r="C222" s="878" t="s">
        <v>1385</v>
      </c>
      <c r="D222" s="820" t="s">
        <v>1338</v>
      </c>
      <c r="E222" s="770" t="s">
        <v>1339</v>
      </c>
      <c r="F222" s="880">
        <v>9</v>
      </c>
      <c r="G222" s="881">
        <v>5005</v>
      </c>
      <c r="H222" s="821"/>
      <c r="I222" s="881"/>
      <c r="J222" s="881"/>
      <c r="K222" s="881"/>
      <c r="L222" s="881"/>
      <c r="M222" s="881"/>
      <c r="N222" s="881"/>
      <c r="O222" s="881"/>
      <c r="P222" s="881"/>
      <c r="Q222" s="881"/>
      <c r="R222" s="821">
        <f t="shared" si="301"/>
        <v>5005</v>
      </c>
      <c r="S222" s="881">
        <v>1</v>
      </c>
      <c r="T222" s="881"/>
      <c r="U222" s="881"/>
      <c r="V222" s="881"/>
      <c r="W222" s="881"/>
      <c r="X222" s="880">
        <v>27</v>
      </c>
      <c r="Y222" s="882">
        <v>0.3</v>
      </c>
      <c r="Z222" s="881">
        <f t="shared" si="302"/>
        <v>1501.5</v>
      </c>
      <c r="AA222" s="821">
        <f t="shared" si="303"/>
        <v>193.5</v>
      </c>
      <c r="AB222" s="821">
        <f t="shared" si="304"/>
        <v>6700</v>
      </c>
      <c r="AC222" s="825">
        <f t="shared" si="305"/>
        <v>6800</v>
      </c>
      <c r="AD222" s="825">
        <f t="shared" si="306"/>
        <v>13500</v>
      </c>
      <c r="AE222" s="826">
        <f t="shared" si="307"/>
        <v>13500</v>
      </c>
      <c r="AF222" s="826">
        <f t="shared" si="308"/>
        <v>6800</v>
      </c>
      <c r="AG222" s="827">
        <f t="shared" si="309"/>
        <v>6700</v>
      </c>
      <c r="AH222" s="826">
        <f t="shared" si="310"/>
        <v>193.5</v>
      </c>
      <c r="AI222" s="883">
        <f t="shared" si="311"/>
        <v>5005</v>
      </c>
      <c r="AJ222" s="883">
        <f t="shared" si="312"/>
        <v>0</v>
      </c>
      <c r="AK222" s="883">
        <f t="shared" si="313"/>
        <v>5005</v>
      </c>
      <c r="AL222" s="883">
        <f t="shared" si="314"/>
        <v>0</v>
      </c>
      <c r="AM222" s="883">
        <f t="shared" si="315"/>
        <v>0</v>
      </c>
      <c r="AN222" s="883">
        <f t="shared" si="316"/>
        <v>0</v>
      </c>
      <c r="AO222" s="884">
        <f t="shared" si="317"/>
        <v>1501.5</v>
      </c>
      <c r="AP222" s="884">
        <f t="shared" si="318"/>
        <v>0</v>
      </c>
      <c r="AQ222" s="884">
        <f t="shared" si="319"/>
        <v>193.5</v>
      </c>
      <c r="AR222" s="884">
        <f t="shared" si="320"/>
        <v>0</v>
      </c>
      <c r="AS222" s="884">
        <f t="shared" si="321"/>
        <v>0</v>
      </c>
      <c r="AT222" s="835">
        <f t="shared" si="295"/>
        <v>5005</v>
      </c>
      <c r="AU222" s="835">
        <f t="shared" si="296"/>
        <v>0</v>
      </c>
      <c r="AV222" s="883"/>
      <c r="AW222" s="946">
        <f t="shared" si="322"/>
        <v>5005</v>
      </c>
    </row>
    <row r="223" spans="2:55" s="196" customFormat="1" ht="74.25" customHeight="1">
      <c r="B223" s="770"/>
      <c r="C223" s="878" t="s">
        <v>1385</v>
      </c>
      <c r="D223" s="820" t="s">
        <v>1366</v>
      </c>
      <c r="E223" s="770" t="s">
        <v>1367</v>
      </c>
      <c r="F223" s="880">
        <v>9</v>
      </c>
      <c r="G223" s="881">
        <v>5005</v>
      </c>
      <c r="H223" s="821"/>
      <c r="I223" s="881"/>
      <c r="J223" s="881"/>
      <c r="K223" s="881"/>
      <c r="L223" s="881"/>
      <c r="M223" s="881"/>
      <c r="N223" s="881"/>
      <c r="O223" s="881"/>
      <c r="P223" s="879"/>
      <c r="Q223" s="879"/>
      <c r="R223" s="821">
        <f t="shared" si="301"/>
        <v>5005</v>
      </c>
      <c r="S223" s="881">
        <v>1</v>
      </c>
      <c r="T223" s="881"/>
      <c r="U223" s="879"/>
      <c r="V223" s="879"/>
      <c r="W223" s="879"/>
      <c r="X223" s="770">
        <v>16</v>
      </c>
      <c r="Y223" s="824">
        <v>0.2</v>
      </c>
      <c r="Z223" s="881">
        <f t="shared" si="302"/>
        <v>1001</v>
      </c>
      <c r="AA223" s="821">
        <f t="shared" si="303"/>
        <v>694</v>
      </c>
      <c r="AB223" s="821">
        <f t="shared" si="304"/>
        <v>6700</v>
      </c>
      <c r="AC223" s="825">
        <f t="shared" si="305"/>
        <v>6800</v>
      </c>
      <c r="AD223" s="825">
        <f t="shared" si="306"/>
        <v>13500</v>
      </c>
      <c r="AE223" s="826">
        <f t="shared" si="307"/>
        <v>13500</v>
      </c>
      <c r="AF223" s="826">
        <f t="shared" si="308"/>
        <v>6800</v>
      </c>
      <c r="AG223" s="827">
        <f t="shared" si="309"/>
        <v>6700</v>
      </c>
      <c r="AH223" s="826">
        <f t="shared" si="310"/>
        <v>694</v>
      </c>
      <c r="AI223" s="883">
        <f t="shared" si="311"/>
        <v>5005</v>
      </c>
      <c r="AJ223" s="883">
        <f t="shared" si="312"/>
        <v>0</v>
      </c>
      <c r="AK223" s="883">
        <f t="shared" si="313"/>
        <v>5005</v>
      </c>
      <c r="AL223" s="883">
        <f t="shared" si="314"/>
        <v>0</v>
      </c>
      <c r="AM223" s="883">
        <f t="shared" si="315"/>
        <v>0</v>
      </c>
      <c r="AN223" s="883">
        <f t="shared" si="316"/>
        <v>0</v>
      </c>
      <c r="AO223" s="884">
        <f t="shared" si="317"/>
        <v>1001</v>
      </c>
      <c r="AP223" s="884">
        <f t="shared" si="318"/>
        <v>0</v>
      </c>
      <c r="AQ223" s="884">
        <f t="shared" si="319"/>
        <v>694</v>
      </c>
      <c r="AR223" s="884">
        <f t="shared" si="320"/>
        <v>0</v>
      </c>
      <c r="AS223" s="884">
        <f t="shared" si="321"/>
        <v>0</v>
      </c>
      <c r="AT223" s="835">
        <f t="shared" si="295"/>
        <v>5005</v>
      </c>
      <c r="AU223" s="835">
        <f t="shared" si="296"/>
        <v>0</v>
      </c>
      <c r="AV223" s="883"/>
      <c r="AW223" s="946">
        <f t="shared" si="322"/>
        <v>5005</v>
      </c>
    </row>
    <row r="224" spans="2:55" s="196" customFormat="1" ht="74.25" customHeight="1">
      <c r="B224" s="770"/>
      <c r="C224" s="878" t="s">
        <v>1385</v>
      </c>
      <c r="D224" s="820" t="s">
        <v>789</v>
      </c>
      <c r="E224" s="770" t="s">
        <v>1392</v>
      </c>
      <c r="F224" s="880">
        <v>9</v>
      </c>
      <c r="G224" s="881">
        <v>5005</v>
      </c>
      <c r="H224" s="821"/>
      <c r="I224" s="881"/>
      <c r="J224" s="882"/>
      <c r="K224" s="882"/>
      <c r="L224" s="882"/>
      <c r="M224" s="881"/>
      <c r="N224" s="881"/>
      <c r="O224" s="881"/>
      <c r="P224" s="879"/>
      <c r="Q224" s="879"/>
      <c r="R224" s="821">
        <f t="shared" si="301"/>
        <v>5005</v>
      </c>
      <c r="S224" s="881">
        <v>1</v>
      </c>
      <c r="T224" s="881"/>
      <c r="U224" s="879"/>
      <c r="V224" s="879"/>
      <c r="W224" s="879"/>
      <c r="X224" s="770">
        <v>21</v>
      </c>
      <c r="Y224" s="824">
        <v>0.3</v>
      </c>
      <c r="Z224" s="881">
        <f t="shared" si="302"/>
        <v>1501.5</v>
      </c>
      <c r="AA224" s="821">
        <f t="shared" si="303"/>
        <v>193.5</v>
      </c>
      <c r="AB224" s="821">
        <f t="shared" si="304"/>
        <v>6700</v>
      </c>
      <c r="AC224" s="825">
        <f t="shared" si="305"/>
        <v>6800</v>
      </c>
      <c r="AD224" s="825">
        <f t="shared" si="306"/>
        <v>13500</v>
      </c>
      <c r="AE224" s="826">
        <f t="shared" si="307"/>
        <v>13500</v>
      </c>
      <c r="AF224" s="826">
        <f t="shared" si="308"/>
        <v>6800</v>
      </c>
      <c r="AG224" s="827">
        <f t="shared" si="309"/>
        <v>6700</v>
      </c>
      <c r="AH224" s="826">
        <f t="shared" si="310"/>
        <v>193.5</v>
      </c>
      <c r="AI224" s="883">
        <f t="shared" si="311"/>
        <v>5005</v>
      </c>
      <c r="AJ224" s="883">
        <f t="shared" si="312"/>
        <v>0</v>
      </c>
      <c r="AK224" s="883">
        <f t="shared" si="313"/>
        <v>5005</v>
      </c>
      <c r="AL224" s="883">
        <f t="shared" si="314"/>
        <v>0</v>
      </c>
      <c r="AM224" s="883">
        <f t="shared" si="315"/>
        <v>0</v>
      </c>
      <c r="AN224" s="883">
        <f>AL224-AJ224</f>
        <v>0</v>
      </c>
      <c r="AO224" s="884">
        <f t="shared" si="317"/>
        <v>1501.5</v>
      </c>
      <c r="AP224" s="884">
        <f t="shared" si="318"/>
        <v>0</v>
      </c>
      <c r="AQ224" s="884">
        <f t="shared" si="319"/>
        <v>193.5</v>
      </c>
      <c r="AR224" s="884">
        <f t="shared" si="320"/>
        <v>0</v>
      </c>
      <c r="AS224" s="884">
        <f t="shared" si="321"/>
        <v>0</v>
      </c>
      <c r="AT224" s="835">
        <f t="shared" si="295"/>
        <v>5005</v>
      </c>
      <c r="AU224" s="835">
        <f t="shared" si="296"/>
        <v>0</v>
      </c>
      <c r="AV224" s="883"/>
      <c r="AW224" s="946">
        <f t="shared" si="322"/>
        <v>5005</v>
      </c>
      <c r="AX224" s="198"/>
      <c r="AY224" s="198"/>
      <c r="AZ224" s="198"/>
    </row>
    <row r="225" spans="2:55" s="196" customFormat="1" ht="74.25" customHeight="1">
      <c r="B225" s="770"/>
      <c r="C225" s="878" t="s">
        <v>1385</v>
      </c>
      <c r="D225" s="820" t="s">
        <v>790</v>
      </c>
      <c r="E225" s="770" t="s">
        <v>1368</v>
      </c>
      <c r="F225" s="880">
        <v>9</v>
      </c>
      <c r="G225" s="881">
        <v>5005</v>
      </c>
      <c r="H225" s="821"/>
      <c r="I225" s="881"/>
      <c r="J225" s="882"/>
      <c r="K225" s="882"/>
      <c r="L225" s="882"/>
      <c r="M225" s="881"/>
      <c r="N225" s="881"/>
      <c r="O225" s="881"/>
      <c r="P225" s="879"/>
      <c r="Q225" s="879"/>
      <c r="R225" s="821">
        <f t="shared" si="301"/>
        <v>5005</v>
      </c>
      <c r="S225" s="881">
        <v>1</v>
      </c>
      <c r="T225" s="881"/>
      <c r="U225" s="879"/>
      <c r="V225" s="879"/>
      <c r="W225" s="879"/>
      <c r="X225" s="770">
        <v>35</v>
      </c>
      <c r="Y225" s="824">
        <v>0.3</v>
      </c>
      <c r="Z225" s="881">
        <f t="shared" si="302"/>
        <v>1501.5</v>
      </c>
      <c r="AA225" s="821">
        <f t="shared" si="303"/>
        <v>193.5</v>
      </c>
      <c r="AB225" s="821">
        <f t="shared" si="304"/>
        <v>6700</v>
      </c>
      <c r="AC225" s="825">
        <f t="shared" si="305"/>
        <v>6800</v>
      </c>
      <c r="AD225" s="825">
        <f t="shared" si="306"/>
        <v>13500</v>
      </c>
      <c r="AE225" s="826">
        <f t="shared" si="307"/>
        <v>13500</v>
      </c>
      <c r="AF225" s="826">
        <f t="shared" si="308"/>
        <v>6800</v>
      </c>
      <c r="AG225" s="827">
        <f t="shared" si="309"/>
        <v>6700</v>
      </c>
      <c r="AH225" s="826">
        <f t="shared" si="310"/>
        <v>193.5</v>
      </c>
      <c r="AI225" s="883">
        <f t="shared" si="311"/>
        <v>5005</v>
      </c>
      <c r="AJ225" s="883">
        <f t="shared" si="312"/>
        <v>0</v>
      </c>
      <c r="AK225" s="883">
        <f t="shared" si="313"/>
        <v>5005</v>
      </c>
      <c r="AL225" s="883">
        <f t="shared" si="314"/>
        <v>0</v>
      </c>
      <c r="AM225" s="883">
        <f t="shared" si="315"/>
        <v>0</v>
      </c>
      <c r="AN225" s="883">
        <f t="shared" si="316"/>
        <v>0</v>
      </c>
      <c r="AO225" s="884">
        <f t="shared" si="317"/>
        <v>1501.5</v>
      </c>
      <c r="AP225" s="884">
        <f t="shared" si="318"/>
        <v>0</v>
      </c>
      <c r="AQ225" s="884">
        <f t="shared" si="319"/>
        <v>193.5</v>
      </c>
      <c r="AR225" s="884">
        <f t="shared" si="320"/>
        <v>0</v>
      </c>
      <c r="AS225" s="884">
        <f t="shared" si="321"/>
        <v>0</v>
      </c>
      <c r="AT225" s="835">
        <f t="shared" si="295"/>
        <v>5005</v>
      </c>
      <c r="AU225" s="835">
        <f t="shared" si="296"/>
        <v>0</v>
      </c>
      <c r="AV225" s="883"/>
      <c r="AW225" s="946">
        <f t="shared" si="322"/>
        <v>5005</v>
      </c>
      <c r="AX225" s="198"/>
      <c r="AY225" s="198"/>
      <c r="AZ225" s="198"/>
    </row>
    <row r="226" spans="2:55" s="196" customFormat="1" ht="31.5">
      <c r="B226" s="770"/>
      <c r="C226" s="799" t="s">
        <v>504</v>
      </c>
      <c r="D226" s="832"/>
      <c r="E226" s="812"/>
      <c r="F226" s="812"/>
      <c r="G226" s="802">
        <f>SUM(G220:G225)</f>
        <v>30030</v>
      </c>
      <c r="H226" s="875"/>
      <c r="I226" s="802">
        <f>SUM(I220:I225)</f>
        <v>500.5</v>
      </c>
      <c r="J226" s="813"/>
      <c r="K226" s="812"/>
      <c r="L226" s="812"/>
      <c r="M226" s="813"/>
      <c r="N226" s="812"/>
      <c r="O226" s="813"/>
      <c r="P226" s="812"/>
      <c r="Q226" s="812"/>
      <c r="R226" s="802">
        <f>SUM(R220:R225)</f>
        <v>30530.5</v>
      </c>
      <c r="S226" s="802">
        <f>SUM(S220:S225)</f>
        <v>6</v>
      </c>
      <c r="T226" s="802">
        <f>SUM(T220:T225)</f>
        <v>0</v>
      </c>
      <c r="U226" s="802"/>
      <c r="V226" s="802"/>
      <c r="W226" s="802"/>
      <c r="X226" s="802"/>
      <c r="Y226" s="802"/>
      <c r="Z226" s="802">
        <f t="shared" ref="Z226:AW226" si="323">SUM(Z220:Z225)</f>
        <v>8108.1</v>
      </c>
      <c r="AA226" s="802">
        <f t="shared" si="323"/>
        <v>1561.3999999999999</v>
      </c>
      <c r="AB226" s="802">
        <f t="shared" si="323"/>
        <v>40200</v>
      </c>
      <c r="AC226" s="802">
        <f t="shared" si="323"/>
        <v>40800</v>
      </c>
      <c r="AD226" s="802">
        <f t="shared" si="323"/>
        <v>81000</v>
      </c>
      <c r="AE226" s="802">
        <f t="shared" si="323"/>
        <v>81000</v>
      </c>
      <c r="AF226" s="802">
        <f t="shared" si="323"/>
        <v>40800</v>
      </c>
      <c r="AG226" s="802">
        <f t="shared" si="323"/>
        <v>40200</v>
      </c>
      <c r="AH226" s="802">
        <f t="shared" si="323"/>
        <v>1561.3999999999999</v>
      </c>
      <c r="AI226" s="802">
        <f t="shared" si="323"/>
        <v>30030</v>
      </c>
      <c r="AJ226" s="802">
        <f t="shared" si="323"/>
        <v>0</v>
      </c>
      <c r="AK226" s="802">
        <f t="shared" si="323"/>
        <v>30530.5</v>
      </c>
      <c r="AL226" s="802">
        <f t="shared" si="323"/>
        <v>0</v>
      </c>
      <c r="AM226" s="802">
        <f t="shared" si="323"/>
        <v>500.5</v>
      </c>
      <c r="AN226" s="802">
        <f t="shared" si="323"/>
        <v>0</v>
      </c>
      <c r="AO226" s="802">
        <f t="shared" si="323"/>
        <v>8108.1</v>
      </c>
      <c r="AP226" s="802">
        <f t="shared" si="323"/>
        <v>0</v>
      </c>
      <c r="AQ226" s="802">
        <f t="shared" si="323"/>
        <v>1561.3999999999999</v>
      </c>
      <c r="AR226" s="802">
        <f t="shared" si="323"/>
        <v>0</v>
      </c>
      <c r="AS226" s="802">
        <f t="shared" si="323"/>
        <v>0</v>
      </c>
      <c r="AT226" s="802">
        <f t="shared" si="323"/>
        <v>30530.5</v>
      </c>
      <c r="AU226" s="802">
        <f t="shared" si="323"/>
        <v>0</v>
      </c>
      <c r="AV226" s="802">
        <f t="shared" si="323"/>
        <v>0</v>
      </c>
      <c r="AW226" s="802">
        <f t="shared" si="323"/>
        <v>30530.5</v>
      </c>
      <c r="AX226" s="198"/>
      <c r="AY226" s="198"/>
      <c r="AZ226" s="198"/>
    </row>
    <row r="227" spans="2:55" s="196" customFormat="1" ht="33">
      <c r="B227" s="770"/>
      <c r="C227" s="851" t="s">
        <v>802</v>
      </c>
      <c r="D227" s="832"/>
      <c r="E227" s="812"/>
      <c r="F227" s="812"/>
      <c r="G227" s="802"/>
      <c r="H227" s="875"/>
      <c r="I227" s="802"/>
      <c r="J227" s="813"/>
      <c r="K227" s="812"/>
      <c r="L227" s="812"/>
      <c r="M227" s="813"/>
      <c r="N227" s="812"/>
      <c r="O227" s="813"/>
      <c r="P227" s="812"/>
      <c r="Q227" s="812"/>
      <c r="R227" s="802"/>
      <c r="S227" s="802"/>
      <c r="T227" s="802"/>
      <c r="U227" s="802"/>
      <c r="V227" s="802"/>
      <c r="W227" s="802"/>
      <c r="X227" s="802"/>
      <c r="Y227" s="802"/>
      <c r="Z227" s="802"/>
      <c r="AA227" s="802"/>
      <c r="AB227" s="802"/>
      <c r="AC227" s="876"/>
      <c r="AD227" s="876"/>
      <c r="AE227" s="833"/>
      <c r="AF227" s="833"/>
      <c r="AG227" s="818"/>
      <c r="AH227" s="833"/>
      <c r="AI227" s="828"/>
      <c r="AJ227" s="828"/>
      <c r="AK227" s="828"/>
      <c r="AL227" s="828"/>
      <c r="AM227" s="828"/>
      <c r="AN227" s="828"/>
      <c r="AO227" s="830"/>
      <c r="AP227" s="830"/>
      <c r="AQ227" s="830"/>
      <c r="AR227" s="830"/>
      <c r="AS227" s="830"/>
      <c r="AT227" s="835"/>
      <c r="AU227" s="835"/>
      <c r="AV227" s="828"/>
      <c r="AW227" s="944"/>
    </row>
    <row r="228" spans="2:55" s="196" customFormat="1" ht="63">
      <c r="B228" s="770"/>
      <c r="C228" s="819" t="s">
        <v>1444</v>
      </c>
      <c r="D228" s="820"/>
      <c r="E228" s="770" t="s">
        <v>1412</v>
      </c>
      <c r="F228" s="770">
        <v>3</v>
      </c>
      <c r="G228" s="821">
        <v>3414</v>
      </c>
      <c r="H228" s="821"/>
      <c r="I228" s="821"/>
      <c r="J228" s="821"/>
      <c r="K228" s="821"/>
      <c r="L228" s="821"/>
      <c r="M228" s="821"/>
      <c r="N228" s="821"/>
      <c r="O228" s="821"/>
      <c r="P228" s="821"/>
      <c r="Q228" s="821"/>
      <c r="R228" s="821">
        <f>G228+I228+K228+L228+N228+P228+Q228</f>
        <v>3414</v>
      </c>
      <c r="S228" s="821">
        <v>1</v>
      </c>
      <c r="T228" s="821"/>
      <c r="U228" s="821"/>
      <c r="V228" s="824">
        <v>0.1</v>
      </c>
      <c r="W228" s="821">
        <f>R228*V228</f>
        <v>341.40000000000003</v>
      </c>
      <c r="X228" s="770"/>
      <c r="Y228" s="824"/>
      <c r="Z228" s="821"/>
      <c r="AA228" s="821">
        <f>AH228</f>
        <v>3286</v>
      </c>
      <c r="AB228" s="821">
        <f>(R228+Z228+U228+W228)*S228+AA228</f>
        <v>7041.4</v>
      </c>
      <c r="AC228" s="825">
        <f>AF228</f>
        <v>0</v>
      </c>
      <c r="AD228" s="825">
        <f>AB228+AC228</f>
        <v>7041.4</v>
      </c>
      <c r="AE228" s="826">
        <f>AB228</f>
        <v>7041.4</v>
      </c>
      <c r="AF228" s="826">
        <f>AE228-AB228</f>
        <v>0</v>
      </c>
      <c r="AG228" s="827">
        <f>6700*S228</f>
        <v>6700</v>
      </c>
      <c r="AH228" s="826">
        <f>AG228-(R228*S228)</f>
        <v>3286</v>
      </c>
      <c r="AI228" s="828">
        <f>G228*S228</f>
        <v>3414</v>
      </c>
      <c r="AJ228" s="828">
        <f>G228*T228</f>
        <v>0</v>
      </c>
      <c r="AK228" s="828">
        <f>R228*S228</f>
        <v>3414</v>
      </c>
      <c r="AL228" s="828">
        <f>R228*T228</f>
        <v>0</v>
      </c>
      <c r="AM228" s="828">
        <f>AK228-AI228</f>
        <v>0</v>
      </c>
      <c r="AN228" s="828">
        <f>AL228-AJ228</f>
        <v>0</v>
      </c>
      <c r="AO228" s="830">
        <f>Z228*S228</f>
        <v>0</v>
      </c>
      <c r="AP228" s="830">
        <f>Z228*T228</f>
        <v>0</v>
      </c>
      <c r="AQ228" s="830">
        <f>AA228</f>
        <v>3286</v>
      </c>
      <c r="AR228" s="830">
        <f>W228*S228</f>
        <v>341.40000000000003</v>
      </c>
      <c r="AS228" s="830">
        <f>W228*T228</f>
        <v>0</v>
      </c>
      <c r="AT228" s="835">
        <f t="shared" si="295"/>
        <v>3414</v>
      </c>
      <c r="AU228" s="835">
        <f t="shared" si="296"/>
        <v>0</v>
      </c>
      <c r="AV228" s="828"/>
      <c r="AW228" s="944">
        <f>AT228+AU228-AV228</f>
        <v>3414</v>
      </c>
    </row>
    <row r="229" spans="2:55" s="196" customFormat="1" ht="63">
      <c r="B229" s="770"/>
      <c r="C229" s="819" t="s">
        <v>1444</v>
      </c>
      <c r="D229" s="820"/>
      <c r="E229" s="770" t="s">
        <v>1464</v>
      </c>
      <c r="F229" s="770">
        <v>3</v>
      </c>
      <c r="G229" s="821">
        <v>3414</v>
      </c>
      <c r="H229" s="821"/>
      <c r="I229" s="821"/>
      <c r="J229" s="821"/>
      <c r="K229" s="821"/>
      <c r="L229" s="821"/>
      <c r="M229" s="821"/>
      <c r="N229" s="821"/>
      <c r="O229" s="821"/>
      <c r="P229" s="821"/>
      <c r="Q229" s="821"/>
      <c r="R229" s="821">
        <f>G229+I229+K229+L229+N229+P229+Q229</f>
        <v>3414</v>
      </c>
      <c r="S229" s="821">
        <v>1</v>
      </c>
      <c r="T229" s="821"/>
      <c r="U229" s="821"/>
      <c r="V229" s="824">
        <v>0.1</v>
      </c>
      <c r="W229" s="821">
        <f>R229*V229</f>
        <v>341.40000000000003</v>
      </c>
      <c r="X229" s="770"/>
      <c r="Y229" s="824"/>
      <c r="Z229" s="821"/>
      <c r="AA229" s="821">
        <f>AH229</f>
        <v>3286</v>
      </c>
      <c r="AB229" s="821">
        <f>(R229+Z229+U229+W229)*S229+AA229</f>
        <v>7041.4</v>
      </c>
      <c r="AC229" s="825">
        <f>AF229</f>
        <v>0</v>
      </c>
      <c r="AD229" s="825">
        <f>AB229+AC229</f>
        <v>7041.4</v>
      </c>
      <c r="AE229" s="826">
        <f>AB229</f>
        <v>7041.4</v>
      </c>
      <c r="AF229" s="826">
        <f>AE229-AB229</f>
        <v>0</v>
      </c>
      <c r="AG229" s="827">
        <f>6700*S229</f>
        <v>6700</v>
      </c>
      <c r="AH229" s="826">
        <f>AG229-(R229*S229)</f>
        <v>3286</v>
      </c>
      <c r="AI229" s="828">
        <f>G229*S229</f>
        <v>3414</v>
      </c>
      <c r="AJ229" s="828">
        <f>G229*T229</f>
        <v>0</v>
      </c>
      <c r="AK229" s="828">
        <f>R229*S229</f>
        <v>3414</v>
      </c>
      <c r="AL229" s="828">
        <f>R229*T229</f>
        <v>0</v>
      </c>
      <c r="AM229" s="828">
        <f>AK229-AI229</f>
        <v>0</v>
      </c>
      <c r="AN229" s="828">
        <f>AL229-AJ229</f>
        <v>0</v>
      </c>
      <c r="AO229" s="830">
        <f>Z229*S229</f>
        <v>0</v>
      </c>
      <c r="AP229" s="830">
        <f>Z229*T229</f>
        <v>0</v>
      </c>
      <c r="AQ229" s="830">
        <f>AA229</f>
        <v>3286</v>
      </c>
      <c r="AR229" s="830">
        <f>W229*S229</f>
        <v>341.40000000000003</v>
      </c>
      <c r="AS229" s="830">
        <f>W229*T229</f>
        <v>0</v>
      </c>
      <c r="AT229" s="835">
        <f t="shared" si="295"/>
        <v>3414</v>
      </c>
      <c r="AU229" s="835">
        <f t="shared" si="296"/>
        <v>0</v>
      </c>
      <c r="AV229" s="828"/>
      <c r="AW229" s="944">
        <f>AT229+AU229-AV229</f>
        <v>3414</v>
      </c>
    </row>
    <row r="230" spans="2:55" s="196" customFormat="1" ht="31.5">
      <c r="B230" s="770"/>
      <c r="C230" s="799" t="s">
        <v>504</v>
      </c>
      <c r="D230" s="832"/>
      <c r="E230" s="812"/>
      <c r="F230" s="812"/>
      <c r="G230" s="802">
        <f>SUM(G228:G229)</f>
        <v>6828</v>
      </c>
      <c r="H230" s="813"/>
      <c r="I230" s="812"/>
      <c r="J230" s="813"/>
      <c r="K230" s="812"/>
      <c r="L230" s="812"/>
      <c r="M230" s="813"/>
      <c r="N230" s="812"/>
      <c r="O230" s="813"/>
      <c r="P230" s="812"/>
      <c r="Q230" s="812"/>
      <c r="R230" s="802">
        <f>SUM(R228:R229)</f>
        <v>6828</v>
      </c>
      <c r="S230" s="802">
        <f>SUM(S228:S229)</f>
        <v>2</v>
      </c>
      <c r="T230" s="802">
        <f>SUM(T228:T229)</f>
        <v>0</v>
      </c>
      <c r="U230" s="803"/>
      <c r="V230" s="802"/>
      <c r="W230" s="802">
        <f>SUM(W228:W229)</f>
        <v>682.80000000000007</v>
      </c>
      <c r="X230" s="802"/>
      <c r="Y230" s="802"/>
      <c r="Z230" s="802"/>
      <c r="AA230" s="802">
        <f>SUM(AA228:AA229)</f>
        <v>6572</v>
      </c>
      <c r="AB230" s="802">
        <f>SUM(AB228:AB229)</f>
        <v>14082.8</v>
      </c>
      <c r="AC230" s="802">
        <f t="shared" ref="AC230:AW230" si="324">SUM(AC228:AC229)</f>
        <v>0</v>
      </c>
      <c r="AD230" s="802">
        <f t="shared" si="324"/>
        <v>14082.8</v>
      </c>
      <c r="AE230" s="802">
        <f t="shared" si="324"/>
        <v>14082.8</v>
      </c>
      <c r="AF230" s="802">
        <f t="shared" si="324"/>
        <v>0</v>
      </c>
      <c r="AG230" s="802">
        <f t="shared" si="324"/>
        <v>13400</v>
      </c>
      <c r="AH230" s="802">
        <f t="shared" si="324"/>
        <v>6572</v>
      </c>
      <c r="AI230" s="802">
        <f t="shared" si="324"/>
        <v>6828</v>
      </c>
      <c r="AJ230" s="802">
        <f t="shared" si="324"/>
        <v>0</v>
      </c>
      <c r="AK230" s="802">
        <f t="shared" si="324"/>
        <v>6828</v>
      </c>
      <c r="AL230" s="802">
        <f t="shared" si="324"/>
        <v>0</v>
      </c>
      <c r="AM230" s="802">
        <f t="shared" si="324"/>
        <v>0</v>
      </c>
      <c r="AN230" s="802">
        <f t="shared" si="324"/>
        <v>0</v>
      </c>
      <c r="AO230" s="802">
        <f t="shared" si="324"/>
        <v>0</v>
      </c>
      <c r="AP230" s="802">
        <f t="shared" si="324"/>
        <v>0</v>
      </c>
      <c r="AQ230" s="802">
        <f t="shared" si="324"/>
        <v>6572</v>
      </c>
      <c r="AR230" s="802">
        <f t="shared" si="324"/>
        <v>682.80000000000007</v>
      </c>
      <c r="AS230" s="802">
        <f t="shared" si="324"/>
        <v>0</v>
      </c>
      <c r="AT230" s="802">
        <f t="shared" si="324"/>
        <v>6828</v>
      </c>
      <c r="AU230" s="802">
        <f t="shared" si="324"/>
        <v>0</v>
      </c>
      <c r="AV230" s="802">
        <f t="shared" si="324"/>
        <v>0</v>
      </c>
      <c r="AW230" s="802">
        <f t="shared" si="324"/>
        <v>6828</v>
      </c>
    </row>
    <row r="231" spans="2:55" s="196" customFormat="1" ht="31.5">
      <c r="B231" s="770"/>
      <c r="C231" s="799" t="s">
        <v>1547</v>
      </c>
      <c r="D231" s="832"/>
      <c r="E231" s="812"/>
      <c r="F231" s="812"/>
      <c r="G231" s="804">
        <f>G218+G226+G230</f>
        <v>49992</v>
      </c>
      <c r="H231" s="804"/>
      <c r="I231" s="804">
        <f>I218+I226+I230</f>
        <v>500.5</v>
      </c>
      <c r="J231" s="804"/>
      <c r="K231" s="804"/>
      <c r="L231" s="804"/>
      <c r="M231" s="804"/>
      <c r="N231" s="804"/>
      <c r="O231" s="804"/>
      <c r="P231" s="804"/>
      <c r="Q231" s="804"/>
      <c r="R231" s="804">
        <f>R218+R226+R230</f>
        <v>50492.5</v>
      </c>
      <c r="S231" s="802">
        <f>S218+S226+S230</f>
        <v>8.5</v>
      </c>
      <c r="T231" s="802">
        <f>T218+T226+T230</f>
        <v>0.5</v>
      </c>
      <c r="U231" s="804"/>
      <c r="V231" s="804"/>
      <c r="W231" s="804">
        <f>W218+W226+W230</f>
        <v>682.80000000000007</v>
      </c>
      <c r="X231" s="804"/>
      <c r="Y231" s="804"/>
      <c r="Z231" s="804">
        <f>Z218+Z226+Z230</f>
        <v>9421.5</v>
      </c>
      <c r="AA231" s="804">
        <f>AA218+AA226+AA230</f>
        <v>8199.9</v>
      </c>
      <c r="AB231" s="804">
        <f>AB218+AB226+AB230</f>
        <v>61573</v>
      </c>
      <c r="AC231" s="804">
        <f t="shared" ref="AC231:AW231" si="325">AC218+AC226+AC230</f>
        <v>53509.8</v>
      </c>
      <c r="AD231" s="804">
        <f t="shared" si="325"/>
        <v>115082.8</v>
      </c>
      <c r="AE231" s="804">
        <f t="shared" si="325"/>
        <v>115082.8</v>
      </c>
      <c r="AF231" s="804">
        <f t="shared" si="325"/>
        <v>53509.8</v>
      </c>
      <c r="AG231" s="804">
        <f t="shared" si="325"/>
        <v>60300</v>
      </c>
      <c r="AH231" s="804">
        <f t="shared" si="325"/>
        <v>8790.0999999999985</v>
      </c>
      <c r="AI231" s="804">
        <f t="shared" si="325"/>
        <v>40141.5</v>
      </c>
      <c r="AJ231" s="804">
        <f t="shared" si="325"/>
        <v>3283.5</v>
      </c>
      <c r="AK231" s="804">
        <f t="shared" si="325"/>
        <v>40642</v>
      </c>
      <c r="AL231" s="804">
        <f t="shared" si="325"/>
        <v>3283.5</v>
      </c>
      <c r="AM231" s="804">
        <f t="shared" si="325"/>
        <v>500.5</v>
      </c>
      <c r="AN231" s="804">
        <f t="shared" si="325"/>
        <v>0</v>
      </c>
      <c r="AO231" s="804">
        <f t="shared" si="325"/>
        <v>8108.1</v>
      </c>
      <c r="AP231" s="804">
        <f t="shared" si="325"/>
        <v>656.7</v>
      </c>
      <c r="AQ231" s="804">
        <f t="shared" si="325"/>
        <v>8199.9</v>
      </c>
      <c r="AR231" s="804">
        <f t="shared" si="325"/>
        <v>682.80000000000007</v>
      </c>
      <c r="AS231" s="804">
        <f t="shared" si="325"/>
        <v>0</v>
      </c>
      <c r="AT231" s="804">
        <f t="shared" si="325"/>
        <v>40642</v>
      </c>
      <c r="AU231" s="804">
        <f t="shared" si="325"/>
        <v>3283.5</v>
      </c>
      <c r="AV231" s="804">
        <f t="shared" si="325"/>
        <v>0</v>
      </c>
      <c r="AW231" s="804">
        <f t="shared" si="325"/>
        <v>43925.5</v>
      </c>
      <c r="AX231" s="198"/>
      <c r="AY231" s="198"/>
      <c r="AZ231" s="198"/>
    </row>
    <row r="232" spans="2:55" s="196" customFormat="1" ht="61.5">
      <c r="B232" s="770"/>
      <c r="C232" s="810" t="s">
        <v>832</v>
      </c>
      <c r="D232" s="811"/>
      <c r="E232" s="812"/>
      <c r="F232" s="812"/>
      <c r="G232" s="812"/>
      <c r="H232" s="813"/>
      <c r="I232" s="812"/>
      <c r="J232" s="813"/>
      <c r="K232" s="812"/>
      <c r="L232" s="812"/>
      <c r="M232" s="813"/>
      <c r="N232" s="812"/>
      <c r="O232" s="813"/>
      <c r="P232" s="812"/>
      <c r="Q232" s="812"/>
      <c r="R232" s="812"/>
      <c r="S232" s="812"/>
      <c r="T232" s="812"/>
      <c r="U232" s="812"/>
      <c r="V232" s="812"/>
      <c r="W232" s="812"/>
      <c r="X232" s="812"/>
      <c r="Y232" s="812"/>
      <c r="Z232" s="812"/>
      <c r="AA232" s="812"/>
      <c r="AB232" s="812"/>
      <c r="AC232" s="834"/>
      <c r="AD232" s="834"/>
      <c r="AE232" s="815"/>
      <c r="AF232" s="815"/>
      <c r="AG232" s="816"/>
      <c r="AH232" s="815"/>
      <c r="AI232" s="828"/>
      <c r="AJ232" s="828"/>
      <c r="AK232" s="828"/>
      <c r="AL232" s="828"/>
      <c r="AM232" s="828"/>
      <c r="AN232" s="828"/>
      <c r="AO232" s="830"/>
      <c r="AP232" s="830"/>
      <c r="AQ232" s="830"/>
      <c r="AR232" s="830"/>
      <c r="AS232" s="830"/>
      <c r="AT232" s="835"/>
      <c r="AU232" s="835"/>
      <c r="AV232" s="828"/>
      <c r="AW232" s="944"/>
    </row>
    <row r="233" spans="2:55" s="196" customFormat="1" ht="33">
      <c r="B233" s="770"/>
      <c r="C233" s="851" t="s">
        <v>1720</v>
      </c>
      <c r="D233" s="845"/>
      <c r="E233" s="846"/>
      <c r="F233" s="846"/>
      <c r="G233" s="846"/>
      <c r="H233" s="847"/>
      <c r="I233" s="846"/>
      <c r="J233" s="847"/>
      <c r="K233" s="846"/>
      <c r="L233" s="846"/>
      <c r="M233" s="847"/>
      <c r="N233" s="846"/>
      <c r="O233" s="847"/>
      <c r="P233" s="846"/>
      <c r="Q233" s="846"/>
      <c r="R233" s="846"/>
      <c r="S233" s="846"/>
      <c r="T233" s="846"/>
      <c r="U233" s="846"/>
      <c r="V233" s="846"/>
      <c r="W233" s="846"/>
      <c r="X233" s="846"/>
      <c r="Y233" s="846"/>
      <c r="Z233" s="846"/>
      <c r="AA233" s="846"/>
      <c r="AB233" s="846"/>
      <c r="AC233" s="848"/>
      <c r="AD233" s="848"/>
      <c r="AE233" s="849"/>
      <c r="AF233" s="849"/>
      <c r="AG233" s="850"/>
      <c r="AH233" s="849"/>
      <c r="AI233" s="828"/>
      <c r="AJ233" s="828"/>
      <c r="AK233" s="828"/>
      <c r="AL233" s="828"/>
      <c r="AM233" s="828"/>
      <c r="AN233" s="828"/>
      <c r="AO233" s="830"/>
      <c r="AP233" s="830"/>
      <c r="AQ233" s="830"/>
      <c r="AR233" s="830"/>
      <c r="AS233" s="830"/>
      <c r="AT233" s="835"/>
      <c r="AU233" s="835"/>
      <c r="AV233" s="828"/>
      <c r="AW233" s="944"/>
      <c r="BC233" s="197"/>
    </row>
    <row r="234" spans="2:55" s="196" customFormat="1" ht="58.5">
      <c r="B234" s="770"/>
      <c r="C234" s="819" t="s">
        <v>1273</v>
      </c>
      <c r="D234" s="820" t="s">
        <v>501</v>
      </c>
      <c r="E234" s="770" t="s">
        <v>502</v>
      </c>
      <c r="F234" s="770">
        <v>14</v>
      </c>
      <c r="G234" s="821">
        <v>7001</v>
      </c>
      <c r="H234" s="824">
        <v>0.25</v>
      </c>
      <c r="I234" s="770">
        <f>G234*H234</f>
        <v>1750.25</v>
      </c>
      <c r="J234" s="824">
        <v>0.4</v>
      </c>
      <c r="K234" s="829">
        <f>(G234+I234)*J234</f>
        <v>3500.5</v>
      </c>
      <c r="L234" s="770"/>
      <c r="M234" s="770"/>
      <c r="N234" s="770"/>
      <c r="O234" s="770"/>
      <c r="P234" s="770"/>
      <c r="Q234" s="770"/>
      <c r="R234" s="821">
        <f>G234+I234+K234+L234+N234+P234+Q234</f>
        <v>12251.75</v>
      </c>
      <c r="S234" s="821">
        <v>1</v>
      </c>
      <c r="T234" s="821"/>
      <c r="U234" s="770"/>
      <c r="V234" s="770"/>
      <c r="W234" s="770"/>
      <c r="X234" s="770">
        <v>31</v>
      </c>
      <c r="Y234" s="824">
        <v>0.3</v>
      </c>
      <c r="Z234" s="821">
        <f t="shared" ref="Z234:Z242" si="326">R234*Y234</f>
        <v>3675.5250000000001</v>
      </c>
      <c r="AA234" s="821"/>
      <c r="AB234" s="821">
        <f>R234+Z234</f>
        <v>15927.275</v>
      </c>
      <c r="AC234" s="825">
        <f t="shared" ref="AC234:AC242" si="327">AF234</f>
        <v>4072.7250000000004</v>
      </c>
      <c r="AD234" s="825">
        <f t="shared" ref="AD234:AD242" si="328">AB234+AC234</f>
        <v>20000</v>
      </c>
      <c r="AE234" s="826">
        <f t="shared" ref="AE234:AE239" si="329">20000*S234</f>
        <v>20000</v>
      </c>
      <c r="AF234" s="826">
        <f t="shared" ref="AF234:AF242" si="330">AE234-AB234</f>
        <v>4072.7250000000004</v>
      </c>
      <c r="AG234" s="827">
        <f t="shared" ref="AG234:AG243" si="331">6700*S234</f>
        <v>6700</v>
      </c>
      <c r="AH234" s="826">
        <f t="shared" ref="AH234:AH242" si="332">AB234-AG234</f>
        <v>9227.2749999999996</v>
      </c>
      <c r="AI234" s="828">
        <f t="shared" ref="AI234:AI242" si="333">G234*S234</f>
        <v>7001</v>
      </c>
      <c r="AJ234" s="828">
        <f t="shared" ref="AJ234:AJ242" si="334">G234*T234</f>
        <v>0</v>
      </c>
      <c r="AK234" s="828">
        <f t="shared" ref="AK234:AK244" si="335">R234*S234</f>
        <v>12251.75</v>
      </c>
      <c r="AL234" s="828">
        <f t="shared" ref="AL234:AL244" si="336">R234*T234</f>
        <v>0</v>
      </c>
      <c r="AM234" s="828">
        <f t="shared" ref="AM234:AM244" si="337">AK234-AI234</f>
        <v>5250.75</v>
      </c>
      <c r="AN234" s="828">
        <f t="shared" ref="AN234:AN244" si="338">AL234-AJ234</f>
        <v>0</v>
      </c>
      <c r="AO234" s="830">
        <f t="shared" ref="AO234:AO244" si="339">Z234*S234</f>
        <v>3675.5250000000001</v>
      </c>
      <c r="AP234" s="830">
        <f t="shared" ref="AP234:AP244" si="340">Z234*T234</f>
        <v>0</v>
      </c>
      <c r="AQ234" s="830">
        <f t="shared" ref="AQ234:AQ244" si="341">AA234</f>
        <v>0</v>
      </c>
      <c r="AR234" s="830">
        <f t="shared" ref="AR234:AR244" si="342">W234*S234</f>
        <v>0</v>
      </c>
      <c r="AS234" s="830">
        <f t="shared" ref="AS234:AS244" si="343">W234*T234</f>
        <v>0</v>
      </c>
      <c r="AT234" s="835">
        <f t="shared" si="295"/>
        <v>12251.75</v>
      </c>
      <c r="AU234" s="835">
        <f t="shared" si="296"/>
        <v>0</v>
      </c>
      <c r="AV234" s="828"/>
      <c r="AW234" s="944">
        <f t="shared" ref="AW234:AW244" si="344">AT234+AU234-AV234</f>
        <v>12251.75</v>
      </c>
    </row>
    <row r="235" spans="2:55" s="196" customFormat="1" ht="58.5">
      <c r="B235" s="770"/>
      <c r="C235" s="819" t="s">
        <v>1274</v>
      </c>
      <c r="D235" s="820" t="s">
        <v>1665</v>
      </c>
      <c r="E235" s="770" t="s">
        <v>1275</v>
      </c>
      <c r="F235" s="770">
        <v>11</v>
      </c>
      <c r="G235" s="821">
        <v>5699</v>
      </c>
      <c r="H235" s="770"/>
      <c r="I235" s="770"/>
      <c r="J235" s="824">
        <v>0.25</v>
      </c>
      <c r="K235" s="829">
        <f t="shared" ref="K235:K242" si="345">(G235+I235)*J235</f>
        <v>1424.75</v>
      </c>
      <c r="L235" s="770"/>
      <c r="M235" s="770"/>
      <c r="N235" s="770"/>
      <c r="O235" s="770"/>
      <c r="P235" s="770"/>
      <c r="Q235" s="770"/>
      <c r="R235" s="821">
        <f t="shared" ref="R235:R242" si="346">G235+I235+K235+L235+N235+P235+Q235</f>
        <v>7123.75</v>
      </c>
      <c r="S235" s="821">
        <f>0.25+0.5+0.25</f>
        <v>1</v>
      </c>
      <c r="T235" s="821"/>
      <c r="U235" s="770"/>
      <c r="V235" s="770"/>
      <c r="W235" s="770"/>
      <c r="X235" s="770">
        <v>2</v>
      </c>
      <c r="Y235" s="824">
        <v>0</v>
      </c>
      <c r="Z235" s="821">
        <f t="shared" si="326"/>
        <v>0</v>
      </c>
      <c r="AA235" s="821"/>
      <c r="AB235" s="821">
        <f t="shared" ref="AB235:AB240" si="347">(R235+Z235)*S235</f>
        <v>7123.75</v>
      </c>
      <c r="AC235" s="825">
        <f t="shared" si="327"/>
        <v>12876.25</v>
      </c>
      <c r="AD235" s="825">
        <f t="shared" si="328"/>
        <v>20000</v>
      </c>
      <c r="AE235" s="826">
        <f t="shared" si="329"/>
        <v>20000</v>
      </c>
      <c r="AF235" s="826">
        <f t="shared" si="330"/>
        <v>12876.25</v>
      </c>
      <c r="AG235" s="827">
        <f t="shared" si="331"/>
        <v>6700</v>
      </c>
      <c r="AH235" s="826">
        <f t="shared" si="332"/>
        <v>423.75</v>
      </c>
      <c r="AI235" s="828">
        <f t="shared" si="333"/>
        <v>5699</v>
      </c>
      <c r="AJ235" s="828">
        <f t="shared" si="334"/>
        <v>0</v>
      </c>
      <c r="AK235" s="828">
        <f t="shared" si="335"/>
        <v>7123.75</v>
      </c>
      <c r="AL235" s="828">
        <f t="shared" si="336"/>
        <v>0</v>
      </c>
      <c r="AM235" s="828">
        <f t="shared" si="337"/>
        <v>1424.75</v>
      </c>
      <c r="AN235" s="828">
        <f t="shared" si="338"/>
        <v>0</v>
      </c>
      <c r="AO235" s="830">
        <f t="shared" si="339"/>
        <v>0</v>
      </c>
      <c r="AP235" s="830">
        <f t="shared" si="340"/>
        <v>0</v>
      </c>
      <c r="AQ235" s="830">
        <f t="shared" si="341"/>
        <v>0</v>
      </c>
      <c r="AR235" s="830">
        <f t="shared" si="342"/>
        <v>0</v>
      </c>
      <c r="AS235" s="830">
        <f t="shared" si="343"/>
        <v>0</v>
      </c>
      <c r="AT235" s="835">
        <f t="shared" si="295"/>
        <v>7123.75</v>
      </c>
      <c r="AU235" s="835">
        <f t="shared" si="296"/>
        <v>0</v>
      </c>
      <c r="AV235" s="828"/>
      <c r="AW235" s="944">
        <f t="shared" si="344"/>
        <v>7123.75</v>
      </c>
    </row>
    <row r="236" spans="2:55" s="198" customFormat="1" ht="58.5">
      <c r="B236" s="770"/>
      <c r="C236" s="819" t="s">
        <v>1274</v>
      </c>
      <c r="D236" s="820" t="s">
        <v>548</v>
      </c>
      <c r="E236" s="770" t="s">
        <v>1276</v>
      </c>
      <c r="F236" s="770">
        <v>13</v>
      </c>
      <c r="G236" s="821">
        <v>6567</v>
      </c>
      <c r="H236" s="770"/>
      <c r="I236" s="770"/>
      <c r="J236" s="824">
        <v>0.25</v>
      </c>
      <c r="K236" s="829">
        <f t="shared" si="345"/>
        <v>1641.75</v>
      </c>
      <c r="L236" s="770"/>
      <c r="M236" s="770"/>
      <c r="N236" s="770"/>
      <c r="O236" s="770"/>
      <c r="P236" s="821"/>
      <c r="Q236" s="821"/>
      <c r="R236" s="821">
        <f t="shared" si="346"/>
        <v>8208.75</v>
      </c>
      <c r="S236" s="821">
        <v>1</v>
      </c>
      <c r="T236" s="821"/>
      <c r="U236" s="821"/>
      <c r="V236" s="821"/>
      <c r="W236" s="821"/>
      <c r="X236" s="770">
        <v>26</v>
      </c>
      <c r="Y236" s="824">
        <v>0.3</v>
      </c>
      <c r="Z236" s="821">
        <f t="shared" si="326"/>
        <v>2462.625</v>
      </c>
      <c r="AA236" s="821"/>
      <c r="AB236" s="821">
        <f t="shared" si="347"/>
        <v>10671.375</v>
      </c>
      <c r="AC236" s="825">
        <f t="shared" si="327"/>
        <v>9328.625</v>
      </c>
      <c r="AD236" s="825">
        <f t="shared" si="328"/>
        <v>20000</v>
      </c>
      <c r="AE236" s="826">
        <f t="shared" si="329"/>
        <v>20000</v>
      </c>
      <c r="AF236" s="826">
        <f t="shared" si="330"/>
        <v>9328.625</v>
      </c>
      <c r="AG236" s="827">
        <f t="shared" si="331"/>
        <v>6700</v>
      </c>
      <c r="AH236" s="826">
        <f t="shared" si="332"/>
        <v>3971.375</v>
      </c>
      <c r="AI236" s="828">
        <f t="shared" si="333"/>
        <v>6567</v>
      </c>
      <c r="AJ236" s="828">
        <f t="shared" si="334"/>
        <v>0</v>
      </c>
      <c r="AK236" s="828">
        <f t="shared" si="335"/>
        <v>8208.75</v>
      </c>
      <c r="AL236" s="828">
        <f t="shared" si="336"/>
        <v>0</v>
      </c>
      <c r="AM236" s="828">
        <f t="shared" si="337"/>
        <v>1641.75</v>
      </c>
      <c r="AN236" s="828">
        <f t="shared" si="338"/>
        <v>0</v>
      </c>
      <c r="AO236" s="830">
        <f t="shared" si="339"/>
        <v>2462.625</v>
      </c>
      <c r="AP236" s="830">
        <f t="shared" si="340"/>
        <v>0</v>
      </c>
      <c r="AQ236" s="830">
        <f t="shared" si="341"/>
        <v>0</v>
      </c>
      <c r="AR236" s="830">
        <f t="shared" si="342"/>
        <v>0</v>
      </c>
      <c r="AS236" s="830">
        <f t="shared" si="343"/>
        <v>0</v>
      </c>
      <c r="AT236" s="835">
        <f t="shared" si="295"/>
        <v>8208.75</v>
      </c>
      <c r="AU236" s="835">
        <f t="shared" si="296"/>
        <v>0</v>
      </c>
      <c r="AV236" s="828"/>
      <c r="AW236" s="944">
        <f t="shared" si="344"/>
        <v>8208.75</v>
      </c>
    </row>
    <row r="237" spans="2:55" s="198" customFormat="1" ht="58.5">
      <c r="B237" s="770"/>
      <c r="C237" s="819" t="s">
        <v>1274</v>
      </c>
      <c r="D237" s="820" t="s">
        <v>1666</v>
      </c>
      <c r="E237" s="770" t="s">
        <v>1302</v>
      </c>
      <c r="F237" s="770">
        <v>11</v>
      </c>
      <c r="G237" s="821">
        <v>5699</v>
      </c>
      <c r="H237" s="770"/>
      <c r="I237" s="770"/>
      <c r="J237" s="824">
        <v>0.25</v>
      </c>
      <c r="K237" s="829">
        <f t="shared" si="345"/>
        <v>1424.75</v>
      </c>
      <c r="L237" s="770"/>
      <c r="M237" s="770"/>
      <c r="N237" s="770"/>
      <c r="O237" s="770"/>
      <c r="P237" s="821"/>
      <c r="Q237" s="821"/>
      <c r="R237" s="821">
        <f t="shared" si="346"/>
        <v>7123.75</v>
      </c>
      <c r="S237" s="821">
        <v>1</v>
      </c>
      <c r="T237" s="821"/>
      <c r="U237" s="821"/>
      <c r="V237" s="821"/>
      <c r="W237" s="821"/>
      <c r="X237" s="770">
        <v>4</v>
      </c>
      <c r="Y237" s="824">
        <v>0.1</v>
      </c>
      <c r="Z237" s="821">
        <f t="shared" si="326"/>
        <v>712.375</v>
      </c>
      <c r="AA237" s="821"/>
      <c r="AB237" s="821">
        <f t="shared" si="347"/>
        <v>7836.125</v>
      </c>
      <c r="AC237" s="825">
        <f t="shared" si="327"/>
        <v>12163.875</v>
      </c>
      <c r="AD237" s="825">
        <f t="shared" si="328"/>
        <v>20000</v>
      </c>
      <c r="AE237" s="826">
        <f t="shared" si="329"/>
        <v>20000</v>
      </c>
      <c r="AF237" s="826">
        <f t="shared" si="330"/>
        <v>12163.875</v>
      </c>
      <c r="AG237" s="827">
        <f t="shared" si="331"/>
        <v>6700</v>
      </c>
      <c r="AH237" s="826">
        <f t="shared" si="332"/>
        <v>1136.125</v>
      </c>
      <c r="AI237" s="828">
        <f t="shared" si="333"/>
        <v>5699</v>
      </c>
      <c r="AJ237" s="828">
        <f t="shared" si="334"/>
        <v>0</v>
      </c>
      <c r="AK237" s="828">
        <f t="shared" si="335"/>
        <v>7123.75</v>
      </c>
      <c r="AL237" s="828">
        <f t="shared" si="336"/>
        <v>0</v>
      </c>
      <c r="AM237" s="828">
        <f t="shared" si="337"/>
        <v>1424.75</v>
      </c>
      <c r="AN237" s="828">
        <f t="shared" si="338"/>
        <v>0</v>
      </c>
      <c r="AO237" s="830">
        <f t="shared" si="339"/>
        <v>712.375</v>
      </c>
      <c r="AP237" s="830">
        <f t="shared" si="340"/>
        <v>0</v>
      </c>
      <c r="AQ237" s="830">
        <f t="shared" si="341"/>
        <v>0</v>
      </c>
      <c r="AR237" s="830">
        <f t="shared" si="342"/>
        <v>0</v>
      </c>
      <c r="AS237" s="830">
        <f t="shared" si="343"/>
        <v>0</v>
      </c>
      <c r="AT237" s="835">
        <f t="shared" si="295"/>
        <v>7123.75</v>
      </c>
      <c r="AU237" s="835">
        <f t="shared" si="296"/>
        <v>0</v>
      </c>
      <c r="AV237" s="828"/>
      <c r="AW237" s="944">
        <f t="shared" si="344"/>
        <v>7123.75</v>
      </c>
    </row>
    <row r="238" spans="2:55" s="196" customFormat="1" ht="58.5">
      <c r="B238" s="770"/>
      <c r="C238" s="819" t="s">
        <v>1274</v>
      </c>
      <c r="D238" s="820" t="s">
        <v>1277</v>
      </c>
      <c r="E238" s="770" t="s">
        <v>1278</v>
      </c>
      <c r="F238" s="770">
        <v>13</v>
      </c>
      <c r="G238" s="821">
        <v>6567</v>
      </c>
      <c r="H238" s="770"/>
      <c r="I238" s="770"/>
      <c r="J238" s="824">
        <v>0.25</v>
      </c>
      <c r="K238" s="829">
        <f t="shared" si="345"/>
        <v>1641.75</v>
      </c>
      <c r="L238" s="770"/>
      <c r="M238" s="770"/>
      <c r="N238" s="770"/>
      <c r="O238" s="770"/>
      <c r="P238" s="821"/>
      <c r="Q238" s="821"/>
      <c r="R238" s="821">
        <f t="shared" si="346"/>
        <v>8208.75</v>
      </c>
      <c r="S238" s="821">
        <v>1</v>
      </c>
      <c r="T238" s="821"/>
      <c r="U238" s="821"/>
      <c r="V238" s="821"/>
      <c r="W238" s="821"/>
      <c r="X238" s="770">
        <v>13</v>
      </c>
      <c r="Y238" s="824">
        <v>0.2</v>
      </c>
      <c r="Z238" s="821">
        <f t="shared" si="326"/>
        <v>1641.75</v>
      </c>
      <c r="AA238" s="821"/>
      <c r="AB238" s="821">
        <f t="shared" si="347"/>
        <v>9850.5</v>
      </c>
      <c r="AC238" s="825">
        <f t="shared" si="327"/>
        <v>10149.5</v>
      </c>
      <c r="AD238" s="825">
        <f t="shared" si="328"/>
        <v>20000</v>
      </c>
      <c r="AE238" s="826">
        <f t="shared" si="329"/>
        <v>20000</v>
      </c>
      <c r="AF238" s="826">
        <f t="shared" si="330"/>
        <v>10149.5</v>
      </c>
      <c r="AG238" s="827">
        <f t="shared" si="331"/>
        <v>6700</v>
      </c>
      <c r="AH238" s="826">
        <f t="shared" si="332"/>
        <v>3150.5</v>
      </c>
      <c r="AI238" s="828">
        <f t="shared" si="333"/>
        <v>6567</v>
      </c>
      <c r="AJ238" s="828">
        <f t="shared" si="334"/>
        <v>0</v>
      </c>
      <c r="AK238" s="828">
        <f t="shared" si="335"/>
        <v>8208.75</v>
      </c>
      <c r="AL238" s="828">
        <f t="shared" si="336"/>
        <v>0</v>
      </c>
      <c r="AM238" s="828">
        <f t="shared" si="337"/>
        <v>1641.75</v>
      </c>
      <c r="AN238" s="828">
        <f t="shared" si="338"/>
        <v>0</v>
      </c>
      <c r="AO238" s="830">
        <f t="shared" si="339"/>
        <v>1641.75</v>
      </c>
      <c r="AP238" s="830">
        <f t="shared" si="340"/>
        <v>0</v>
      </c>
      <c r="AQ238" s="830">
        <f t="shared" si="341"/>
        <v>0</v>
      </c>
      <c r="AR238" s="830">
        <f t="shared" si="342"/>
        <v>0</v>
      </c>
      <c r="AS238" s="830">
        <f t="shared" si="343"/>
        <v>0</v>
      </c>
      <c r="AT238" s="835">
        <f t="shared" si="295"/>
        <v>8208.75</v>
      </c>
      <c r="AU238" s="835">
        <f t="shared" si="296"/>
        <v>0</v>
      </c>
      <c r="AV238" s="828"/>
      <c r="AW238" s="944">
        <f t="shared" si="344"/>
        <v>8208.75</v>
      </c>
    </row>
    <row r="239" spans="2:55" s="196" customFormat="1" ht="33">
      <c r="B239" s="770"/>
      <c r="C239" s="819" t="s">
        <v>1274</v>
      </c>
      <c r="D239" s="820"/>
      <c r="E239" s="770" t="s">
        <v>511</v>
      </c>
      <c r="F239" s="770">
        <v>13</v>
      </c>
      <c r="G239" s="821">
        <v>6567</v>
      </c>
      <c r="H239" s="770"/>
      <c r="I239" s="770"/>
      <c r="J239" s="824">
        <v>0.25</v>
      </c>
      <c r="K239" s="829">
        <f>(G239+I239)*J239</f>
        <v>1641.75</v>
      </c>
      <c r="L239" s="770"/>
      <c r="M239" s="770"/>
      <c r="N239" s="770"/>
      <c r="O239" s="770"/>
      <c r="P239" s="821"/>
      <c r="Q239" s="821"/>
      <c r="R239" s="821">
        <f>G239+I239+K239+L239+N239+P239+Q239</f>
        <v>8208.75</v>
      </c>
      <c r="S239" s="821">
        <v>0.5</v>
      </c>
      <c r="T239" s="821"/>
      <c r="U239" s="821"/>
      <c r="V239" s="821"/>
      <c r="W239" s="821"/>
      <c r="X239" s="770"/>
      <c r="Y239" s="824">
        <v>0</v>
      </c>
      <c r="Z239" s="821">
        <f>R239*Y239</f>
        <v>0</v>
      </c>
      <c r="AA239" s="821"/>
      <c r="AB239" s="821">
        <f t="shared" si="347"/>
        <v>4104.375</v>
      </c>
      <c r="AC239" s="825">
        <f>AF239</f>
        <v>5895.625</v>
      </c>
      <c r="AD239" s="825">
        <f>AB239+AC239</f>
        <v>10000</v>
      </c>
      <c r="AE239" s="826">
        <f t="shared" si="329"/>
        <v>10000</v>
      </c>
      <c r="AF239" s="826">
        <f>AE239-AB239</f>
        <v>5895.625</v>
      </c>
      <c r="AG239" s="827">
        <f t="shared" si="331"/>
        <v>3350</v>
      </c>
      <c r="AH239" s="826">
        <f>AB239-AG239</f>
        <v>754.375</v>
      </c>
      <c r="AI239" s="828">
        <f>G239*S239</f>
        <v>3283.5</v>
      </c>
      <c r="AJ239" s="828">
        <f>G239*T239</f>
        <v>0</v>
      </c>
      <c r="AK239" s="828">
        <f t="shared" si="335"/>
        <v>4104.375</v>
      </c>
      <c r="AL239" s="828">
        <f t="shared" si="336"/>
        <v>0</v>
      </c>
      <c r="AM239" s="828">
        <f t="shared" si="337"/>
        <v>820.875</v>
      </c>
      <c r="AN239" s="828">
        <f t="shared" si="338"/>
        <v>0</v>
      </c>
      <c r="AO239" s="830">
        <f t="shared" si="339"/>
        <v>0</v>
      </c>
      <c r="AP239" s="830">
        <f t="shared" si="340"/>
        <v>0</v>
      </c>
      <c r="AQ239" s="830">
        <f t="shared" si="341"/>
        <v>0</v>
      </c>
      <c r="AR239" s="830">
        <f t="shared" si="342"/>
        <v>0</v>
      </c>
      <c r="AS239" s="830">
        <f t="shared" si="343"/>
        <v>0</v>
      </c>
      <c r="AT239" s="835">
        <f t="shared" si="295"/>
        <v>4104.375</v>
      </c>
      <c r="AU239" s="835">
        <f t="shared" si="296"/>
        <v>0</v>
      </c>
      <c r="AV239" s="828"/>
      <c r="AW239" s="944">
        <f t="shared" si="344"/>
        <v>4104.375</v>
      </c>
    </row>
    <row r="240" spans="2:55" s="196" customFormat="1" ht="58.5">
      <c r="B240" s="770"/>
      <c r="C240" s="819" t="s">
        <v>1274</v>
      </c>
      <c r="D240" s="820" t="s">
        <v>1251</v>
      </c>
      <c r="E240" s="770" t="s">
        <v>1252</v>
      </c>
      <c r="F240" s="770">
        <v>11</v>
      </c>
      <c r="G240" s="821">
        <v>5699</v>
      </c>
      <c r="H240" s="770"/>
      <c r="I240" s="770"/>
      <c r="J240" s="824">
        <v>0.25</v>
      </c>
      <c r="K240" s="829">
        <f t="shared" si="345"/>
        <v>1424.75</v>
      </c>
      <c r="L240" s="770"/>
      <c r="M240" s="770"/>
      <c r="N240" s="770"/>
      <c r="O240" s="770"/>
      <c r="P240" s="770"/>
      <c r="Q240" s="770"/>
      <c r="R240" s="821">
        <f t="shared" si="346"/>
        <v>7123.75</v>
      </c>
      <c r="S240" s="821">
        <v>1</v>
      </c>
      <c r="T240" s="821"/>
      <c r="U240" s="770"/>
      <c r="V240" s="770"/>
      <c r="W240" s="770"/>
      <c r="X240" s="770">
        <v>2</v>
      </c>
      <c r="Y240" s="824">
        <v>0</v>
      </c>
      <c r="Z240" s="821">
        <f t="shared" si="326"/>
        <v>0</v>
      </c>
      <c r="AA240" s="821"/>
      <c r="AB240" s="821">
        <f t="shared" si="347"/>
        <v>7123.75</v>
      </c>
      <c r="AC240" s="825">
        <f>AF240</f>
        <v>12876.25</v>
      </c>
      <c r="AD240" s="825">
        <f>AB240+AC240</f>
        <v>20000</v>
      </c>
      <c r="AE240" s="826">
        <f>20000*S240</f>
        <v>20000</v>
      </c>
      <c r="AF240" s="826">
        <f>AE240-AB240</f>
        <v>12876.25</v>
      </c>
      <c r="AG240" s="827">
        <f>6700*S240</f>
        <v>6700</v>
      </c>
      <c r="AH240" s="826">
        <f>AB240-AG240</f>
        <v>423.75</v>
      </c>
      <c r="AI240" s="828">
        <f t="shared" si="333"/>
        <v>5699</v>
      </c>
      <c r="AJ240" s="828">
        <f t="shared" si="334"/>
        <v>0</v>
      </c>
      <c r="AK240" s="828">
        <f t="shared" si="335"/>
        <v>7123.75</v>
      </c>
      <c r="AL240" s="828">
        <f t="shared" si="336"/>
        <v>0</v>
      </c>
      <c r="AM240" s="828">
        <f t="shared" si="337"/>
        <v>1424.75</v>
      </c>
      <c r="AN240" s="828">
        <f t="shared" si="338"/>
        <v>0</v>
      </c>
      <c r="AO240" s="830">
        <f t="shared" si="339"/>
        <v>0</v>
      </c>
      <c r="AP240" s="830">
        <f t="shared" si="340"/>
        <v>0</v>
      </c>
      <c r="AQ240" s="830">
        <f t="shared" si="341"/>
        <v>0</v>
      </c>
      <c r="AR240" s="830">
        <f t="shared" si="342"/>
        <v>0</v>
      </c>
      <c r="AS240" s="830">
        <f t="shared" si="343"/>
        <v>0</v>
      </c>
      <c r="AT240" s="835">
        <f t="shared" si="295"/>
        <v>7123.75</v>
      </c>
      <c r="AU240" s="835">
        <f t="shared" si="296"/>
        <v>0</v>
      </c>
      <c r="AV240" s="828"/>
      <c r="AW240" s="944">
        <f t="shared" si="344"/>
        <v>7123.75</v>
      </c>
    </row>
    <row r="241" spans="2:52" s="196" customFormat="1" ht="58.5">
      <c r="B241" s="770"/>
      <c r="C241" s="819" t="s">
        <v>1274</v>
      </c>
      <c r="D241" s="820" t="s">
        <v>1279</v>
      </c>
      <c r="E241" s="770" t="s">
        <v>1254</v>
      </c>
      <c r="F241" s="770">
        <v>12</v>
      </c>
      <c r="G241" s="821">
        <v>6133</v>
      </c>
      <c r="H241" s="770"/>
      <c r="I241" s="770"/>
      <c r="J241" s="824">
        <v>0.25</v>
      </c>
      <c r="K241" s="829">
        <f t="shared" si="345"/>
        <v>1533.25</v>
      </c>
      <c r="L241" s="770"/>
      <c r="M241" s="770"/>
      <c r="N241" s="770"/>
      <c r="O241" s="770"/>
      <c r="P241" s="821"/>
      <c r="Q241" s="821"/>
      <c r="R241" s="821">
        <f t="shared" si="346"/>
        <v>7666.25</v>
      </c>
      <c r="S241" s="821"/>
      <c r="T241" s="821">
        <v>0.25</v>
      </c>
      <c r="U241" s="821"/>
      <c r="V241" s="821"/>
      <c r="W241" s="821"/>
      <c r="X241" s="770">
        <v>9</v>
      </c>
      <c r="Y241" s="824">
        <v>0.1</v>
      </c>
      <c r="Z241" s="821">
        <f t="shared" si="326"/>
        <v>766.625</v>
      </c>
      <c r="AA241" s="821"/>
      <c r="AB241" s="821">
        <f>(R241+Z241)*T241</f>
        <v>2108.21875</v>
      </c>
      <c r="AC241" s="825">
        <f>AF241</f>
        <v>2891.78125</v>
      </c>
      <c r="AD241" s="825">
        <f>AB241+AC241</f>
        <v>5000</v>
      </c>
      <c r="AE241" s="826">
        <f>20000*T241</f>
        <v>5000</v>
      </c>
      <c r="AF241" s="826">
        <f>AE241-AB241</f>
        <v>2891.78125</v>
      </c>
      <c r="AG241" s="827">
        <f>6700*T241</f>
        <v>1675</v>
      </c>
      <c r="AH241" s="826">
        <f>AB241-AG241</f>
        <v>433.21875</v>
      </c>
      <c r="AI241" s="828">
        <f>G241*S241</f>
        <v>0</v>
      </c>
      <c r="AJ241" s="828">
        <f>G241*T241</f>
        <v>1533.25</v>
      </c>
      <c r="AK241" s="828">
        <f t="shared" si="335"/>
        <v>0</v>
      </c>
      <c r="AL241" s="828">
        <f t="shared" si="336"/>
        <v>1916.5625</v>
      </c>
      <c r="AM241" s="828">
        <f t="shared" si="337"/>
        <v>0</v>
      </c>
      <c r="AN241" s="828">
        <f t="shared" si="338"/>
        <v>383.3125</v>
      </c>
      <c r="AO241" s="830">
        <f t="shared" si="339"/>
        <v>0</v>
      </c>
      <c r="AP241" s="830">
        <f t="shared" si="340"/>
        <v>191.65625</v>
      </c>
      <c r="AQ241" s="830">
        <f t="shared" si="341"/>
        <v>0</v>
      </c>
      <c r="AR241" s="830">
        <f t="shared" si="342"/>
        <v>0</v>
      </c>
      <c r="AS241" s="830">
        <f t="shared" si="343"/>
        <v>0</v>
      </c>
      <c r="AT241" s="835">
        <f t="shared" si="295"/>
        <v>0</v>
      </c>
      <c r="AU241" s="835">
        <f t="shared" si="296"/>
        <v>1916.5625</v>
      </c>
      <c r="AV241" s="828"/>
      <c r="AW241" s="944">
        <f t="shared" si="344"/>
        <v>1916.5625</v>
      </c>
    </row>
    <row r="242" spans="2:52" s="196" customFormat="1" ht="58.5">
      <c r="B242" s="770"/>
      <c r="C242" s="819" t="s">
        <v>1274</v>
      </c>
      <c r="D242" s="820" t="s">
        <v>1280</v>
      </c>
      <c r="E242" s="770" t="s">
        <v>1281</v>
      </c>
      <c r="F242" s="770">
        <v>13</v>
      </c>
      <c r="G242" s="821">
        <v>6567</v>
      </c>
      <c r="H242" s="770"/>
      <c r="I242" s="770"/>
      <c r="J242" s="824">
        <v>0.25</v>
      </c>
      <c r="K242" s="829">
        <f t="shared" si="345"/>
        <v>1641.75</v>
      </c>
      <c r="L242" s="770"/>
      <c r="M242" s="770"/>
      <c r="N242" s="770"/>
      <c r="O242" s="770"/>
      <c r="P242" s="821"/>
      <c r="Q242" s="821"/>
      <c r="R242" s="821">
        <f t="shared" si="346"/>
        <v>8208.75</v>
      </c>
      <c r="S242" s="821"/>
      <c r="T242" s="821">
        <v>0.5</v>
      </c>
      <c r="U242" s="821"/>
      <c r="V242" s="821"/>
      <c r="W242" s="821"/>
      <c r="X242" s="770">
        <v>8</v>
      </c>
      <c r="Y242" s="824">
        <v>0.1</v>
      </c>
      <c r="Z242" s="821">
        <f t="shared" si="326"/>
        <v>820.875</v>
      </c>
      <c r="AA242" s="821"/>
      <c r="AB242" s="821">
        <f>(R242+Z242)*T242</f>
        <v>4514.8125</v>
      </c>
      <c r="AC242" s="825">
        <f t="shared" si="327"/>
        <v>5485.1875</v>
      </c>
      <c r="AD242" s="825">
        <f t="shared" si="328"/>
        <v>10000</v>
      </c>
      <c r="AE242" s="826">
        <f>20000*T242</f>
        <v>10000</v>
      </c>
      <c r="AF242" s="826">
        <f t="shared" si="330"/>
        <v>5485.1875</v>
      </c>
      <c r="AG242" s="827">
        <f>6700*T242</f>
        <v>3350</v>
      </c>
      <c r="AH242" s="826">
        <f t="shared" si="332"/>
        <v>1164.8125</v>
      </c>
      <c r="AI242" s="828">
        <f t="shared" si="333"/>
        <v>0</v>
      </c>
      <c r="AJ242" s="828">
        <f t="shared" si="334"/>
        <v>3283.5</v>
      </c>
      <c r="AK242" s="828">
        <f t="shared" si="335"/>
        <v>0</v>
      </c>
      <c r="AL242" s="828">
        <f t="shared" si="336"/>
        <v>4104.375</v>
      </c>
      <c r="AM242" s="828">
        <f t="shared" si="337"/>
        <v>0</v>
      </c>
      <c r="AN242" s="828">
        <f t="shared" si="338"/>
        <v>820.875</v>
      </c>
      <c r="AO242" s="830">
        <f t="shared" si="339"/>
        <v>0</v>
      </c>
      <c r="AP242" s="830">
        <f t="shared" si="340"/>
        <v>410.4375</v>
      </c>
      <c r="AQ242" s="830">
        <f t="shared" si="341"/>
        <v>0</v>
      </c>
      <c r="AR242" s="830">
        <f t="shared" si="342"/>
        <v>0</v>
      </c>
      <c r="AS242" s="830">
        <f t="shared" si="343"/>
        <v>0</v>
      </c>
      <c r="AT242" s="835">
        <f t="shared" si="295"/>
        <v>0</v>
      </c>
      <c r="AU242" s="835">
        <f t="shared" si="296"/>
        <v>4104.375</v>
      </c>
      <c r="AV242" s="828"/>
      <c r="AW242" s="944">
        <f t="shared" si="344"/>
        <v>4104.375</v>
      </c>
    </row>
    <row r="243" spans="2:52" s="196" customFormat="1" ht="87.75">
      <c r="B243" s="770"/>
      <c r="C243" s="819" t="s">
        <v>551</v>
      </c>
      <c r="D243" s="820" t="s">
        <v>552</v>
      </c>
      <c r="E243" s="770" t="s">
        <v>553</v>
      </c>
      <c r="F243" s="770">
        <v>11</v>
      </c>
      <c r="G243" s="821">
        <v>5699</v>
      </c>
      <c r="H243" s="770"/>
      <c r="I243" s="770"/>
      <c r="J243" s="824">
        <v>0.25</v>
      </c>
      <c r="K243" s="829">
        <f>(G243+I243)*J243</f>
        <v>1424.75</v>
      </c>
      <c r="L243" s="770"/>
      <c r="M243" s="770"/>
      <c r="N243" s="770"/>
      <c r="O243" s="770"/>
      <c r="P243" s="821"/>
      <c r="Q243" s="821"/>
      <c r="R243" s="821">
        <f>G243+I243+K243+L243+N243+P243+Q243</f>
        <v>7123.75</v>
      </c>
      <c r="S243" s="821">
        <v>1</v>
      </c>
      <c r="T243" s="821"/>
      <c r="U243" s="821"/>
      <c r="V243" s="821"/>
      <c r="W243" s="821"/>
      <c r="X243" s="770">
        <v>3</v>
      </c>
      <c r="Y243" s="824">
        <v>0.1</v>
      </c>
      <c r="Z243" s="821">
        <f>R243*Y243</f>
        <v>712.375</v>
      </c>
      <c r="AA243" s="821"/>
      <c r="AB243" s="821">
        <f>(R243+Z243)*S243</f>
        <v>7836.125</v>
      </c>
      <c r="AC243" s="825">
        <f>AF243</f>
        <v>12163.875</v>
      </c>
      <c r="AD243" s="825">
        <f>AB243+AC243</f>
        <v>20000</v>
      </c>
      <c r="AE243" s="826">
        <f>20000*S243</f>
        <v>20000</v>
      </c>
      <c r="AF243" s="826">
        <f>AE243-AB243</f>
        <v>12163.875</v>
      </c>
      <c r="AG243" s="827">
        <f t="shared" si="331"/>
        <v>6700</v>
      </c>
      <c r="AH243" s="826">
        <f>AB243-AG243</f>
        <v>1136.125</v>
      </c>
      <c r="AI243" s="828">
        <f>G243*S243</f>
        <v>5699</v>
      </c>
      <c r="AJ243" s="828">
        <f>G243*T243</f>
        <v>0</v>
      </c>
      <c r="AK243" s="828">
        <f t="shared" si="335"/>
        <v>7123.75</v>
      </c>
      <c r="AL243" s="828">
        <f t="shared" si="336"/>
        <v>0</v>
      </c>
      <c r="AM243" s="828">
        <f t="shared" si="337"/>
        <v>1424.75</v>
      </c>
      <c r="AN243" s="828">
        <f t="shared" si="338"/>
        <v>0</v>
      </c>
      <c r="AO243" s="830">
        <f t="shared" si="339"/>
        <v>712.375</v>
      </c>
      <c r="AP243" s="830">
        <f t="shared" si="340"/>
        <v>0</v>
      </c>
      <c r="AQ243" s="830">
        <f t="shared" si="341"/>
        <v>0</v>
      </c>
      <c r="AR243" s="830">
        <f t="shared" si="342"/>
        <v>0</v>
      </c>
      <c r="AS243" s="830">
        <f t="shared" si="343"/>
        <v>0</v>
      </c>
      <c r="AT243" s="835">
        <f t="shared" si="295"/>
        <v>7123.75</v>
      </c>
      <c r="AU243" s="835">
        <f t="shared" si="296"/>
        <v>0</v>
      </c>
      <c r="AV243" s="828"/>
      <c r="AW243" s="944">
        <f t="shared" si="344"/>
        <v>7123.75</v>
      </c>
    </row>
    <row r="244" spans="2:52" s="196" customFormat="1" ht="58.5">
      <c r="B244" s="770"/>
      <c r="C244" s="819" t="s">
        <v>1249</v>
      </c>
      <c r="D244" s="820" t="s">
        <v>616</v>
      </c>
      <c r="E244" s="770" t="s">
        <v>554</v>
      </c>
      <c r="F244" s="770">
        <v>14</v>
      </c>
      <c r="G244" s="821">
        <v>7001</v>
      </c>
      <c r="H244" s="770"/>
      <c r="I244" s="770"/>
      <c r="J244" s="824">
        <v>0.25</v>
      </c>
      <c r="K244" s="829">
        <f>(G244+I244)*J244</f>
        <v>1750.25</v>
      </c>
      <c r="L244" s="770"/>
      <c r="M244" s="770"/>
      <c r="N244" s="770"/>
      <c r="O244" s="770"/>
      <c r="P244" s="821"/>
      <c r="Q244" s="821"/>
      <c r="R244" s="821">
        <f>G244+I244+K244+L244+N244+P244+Q244</f>
        <v>8751.25</v>
      </c>
      <c r="S244" s="821"/>
      <c r="T244" s="821">
        <v>0.25</v>
      </c>
      <c r="U244" s="821"/>
      <c r="V244" s="821"/>
      <c r="W244" s="821"/>
      <c r="X244" s="770">
        <v>15</v>
      </c>
      <c r="Y244" s="824">
        <v>0.2</v>
      </c>
      <c r="Z244" s="821">
        <f>R244*Y244</f>
        <v>1750.25</v>
      </c>
      <c r="AA244" s="821"/>
      <c r="AB244" s="821">
        <f>(R244+Z244)*T244</f>
        <v>2625.375</v>
      </c>
      <c r="AC244" s="825">
        <f>AF244</f>
        <v>2374.625</v>
      </c>
      <c r="AD244" s="825">
        <f>AB244+AC244</f>
        <v>5000</v>
      </c>
      <c r="AE244" s="826">
        <f>20000*T244</f>
        <v>5000</v>
      </c>
      <c r="AF244" s="826">
        <f>AE244-AB244</f>
        <v>2374.625</v>
      </c>
      <c r="AG244" s="827">
        <f>6700*T244</f>
        <v>1675</v>
      </c>
      <c r="AH244" s="826">
        <f>AB244-AG244</f>
        <v>950.375</v>
      </c>
      <c r="AI244" s="828">
        <f>G244*S244</f>
        <v>0</v>
      </c>
      <c r="AJ244" s="828">
        <f>G244*T244</f>
        <v>1750.25</v>
      </c>
      <c r="AK244" s="828">
        <f t="shared" si="335"/>
        <v>0</v>
      </c>
      <c r="AL244" s="828">
        <f t="shared" si="336"/>
        <v>2187.8125</v>
      </c>
      <c r="AM244" s="828">
        <f t="shared" si="337"/>
        <v>0</v>
      </c>
      <c r="AN244" s="828">
        <f t="shared" si="338"/>
        <v>437.5625</v>
      </c>
      <c r="AO244" s="830">
        <f t="shared" si="339"/>
        <v>0</v>
      </c>
      <c r="AP244" s="830">
        <f t="shared" si="340"/>
        <v>437.5625</v>
      </c>
      <c r="AQ244" s="830">
        <f t="shared" si="341"/>
        <v>0</v>
      </c>
      <c r="AR244" s="830">
        <f t="shared" si="342"/>
        <v>0</v>
      </c>
      <c r="AS244" s="830">
        <f t="shared" si="343"/>
        <v>0</v>
      </c>
      <c r="AT244" s="835">
        <f t="shared" si="295"/>
        <v>0</v>
      </c>
      <c r="AU244" s="835">
        <f t="shared" si="296"/>
        <v>2187.8125</v>
      </c>
      <c r="AV244" s="828"/>
      <c r="AW244" s="944">
        <f t="shared" si="344"/>
        <v>2187.8125</v>
      </c>
    </row>
    <row r="245" spans="2:52" s="196" customFormat="1" ht="31.5">
      <c r="B245" s="770"/>
      <c r="C245" s="799" t="s">
        <v>504</v>
      </c>
      <c r="D245" s="832"/>
      <c r="E245" s="812"/>
      <c r="F245" s="812"/>
      <c r="G245" s="802">
        <f>SUM(G234:G244)</f>
        <v>69199</v>
      </c>
      <c r="H245" s="813"/>
      <c r="I245" s="802">
        <f>SUM(I234:I244)</f>
        <v>1750.25</v>
      </c>
      <c r="J245" s="813"/>
      <c r="K245" s="804">
        <f>SUM(K234:K244)</f>
        <v>19050</v>
      </c>
      <c r="L245" s="812"/>
      <c r="M245" s="813"/>
      <c r="N245" s="812"/>
      <c r="O245" s="813"/>
      <c r="P245" s="812"/>
      <c r="Q245" s="812"/>
      <c r="R245" s="802">
        <f>SUM(R234:R244)</f>
        <v>89999.25</v>
      </c>
      <c r="S245" s="802">
        <f>SUM(S234:S244)</f>
        <v>7.5</v>
      </c>
      <c r="T245" s="802">
        <f>SUM(T234:T244)</f>
        <v>1</v>
      </c>
      <c r="U245" s="802"/>
      <c r="V245" s="802"/>
      <c r="W245" s="802"/>
      <c r="X245" s="802"/>
      <c r="Y245" s="802"/>
      <c r="Z245" s="802">
        <f>SUM(Z234:Z244)</f>
        <v>12542.4</v>
      </c>
      <c r="AA245" s="802">
        <f>SUM(AA234:AA244)</f>
        <v>0</v>
      </c>
      <c r="AB245" s="802">
        <f>SUM(AB234:AB244)</f>
        <v>79721.681249999994</v>
      </c>
      <c r="AC245" s="802">
        <f t="shared" ref="AC245:AW245" si="348">SUM(AC234:AC244)</f>
        <v>90278.318750000006</v>
      </c>
      <c r="AD245" s="802">
        <f t="shared" si="348"/>
        <v>170000</v>
      </c>
      <c r="AE245" s="802">
        <f t="shared" si="348"/>
        <v>170000</v>
      </c>
      <c r="AF245" s="802">
        <f t="shared" si="348"/>
        <v>90278.318750000006</v>
      </c>
      <c r="AG245" s="802">
        <f t="shared" si="348"/>
        <v>56950</v>
      </c>
      <c r="AH245" s="802">
        <f t="shared" si="348"/>
        <v>22771.681250000001</v>
      </c>
      <c r="AI245" s="802">
        <f t="shared" si="348"/>
        <v>46214.5</v>
      </c>
      <c r="AJ245" s="802">
        <f t="shared" si="348"/>
        <v>6567</v>
      </c>
      <c r="AK245" s="802">
        <f t="shared" si="348"/>
        <v>61268.625</v>
      </c>
      <c r="AL245" s="802">
        <f t="shared" si="348"/>
        <v>8208.75</v>
      </c>
      <c r="AM245" s="802">
        <f t="shared" si="348"/>
        <v>15054.125</v>
      </c>
      <c r="AN245" s="802">
        <f t="shared" si="348"/>
        <v>1641.75</v>
      </c>
      <c r="AO245" s="802">
        <f t="shared" si="348"/>
        <v>9204.65</v>
      </c>
      <c r="AP245" s="802">
        <f t="shared" si="348"/>
        <v>1039.65625</v>
      </c>
      <c r="AQ245" s="802">
        <f t="shared" si="348"/>
        <v>0</v>
      </c>
      <c r="AR245" s="802">
        <f t="shared" si="348"/>
        <v>0</v>
      </c>
      <c r="AS245" s="802">
        <f t="shared" si="348"/>
        <v>0</v>
      </c>
      <c r="AT245" s="802">
        <f t="shared" si="348"/>
        <v>61268.625</v>
      </c>
      <c r="AU245" s="802">
        <f t="shared" si="348"/>
        <v>8208.75</v>
      </c>
      <c r="AV245" s="802">
        <f t="shared" si="348"/>
        <v>0</v>
      </c>
      <c r="AW245" s="802">
        <f t="shared" si="348"/>
        <v>69477.375</v>
      </c>
    </row>
    <row r="246" spans="2:52" s="196" customFormat="1" ht="33">
      <c r="B246" s="770"/>
      <c r="C246" s="851" t="s">
        <v>1988</v>
      </c>
      <c r="D246" s="811"/>
      <c r="E246" s="812"/>
      <c r="F246" s="812"/>
      <c r="G246" s="812"/>
      <c r="H246" s="813"/>
      <c r="I246" s="812"/>
      <c r="J246" s="813"/>
      <c r="K246" s="812"/>
      <c r="L246" s="812"/>
      <c r="M246" s="813"/>
      <c r="N246" s="812"/>
      <c r="O246" s="813"/>
      <c r="P246" s="812"/>
      <c r="Q246" s="812"/>
      <c r="R246" s="812"/>
      <c r="S246" s="812"/>
      <c r="T246" s="812"/>
      <c r="U246" s="812"/>
      <c r="V246" s="812"/>
      <c r="W246" s="812"/>
      <c r="X246" s="812"/>
      <c r="Y246" s="812"/>
      <c r="Z246" s="812"/>
      <c r="AA246" s="812"/>
      <c r="AB246" s="812"/>
      <c r="AC246" s="834"/>
      <c r="AD246" s="834"/>
      <c r="AE246" s="815"/>
      <c r="AF246" s="815"/>
      <c r="AG246" s="816"/>
      <c r="AH246" s="815"/>
      <c r="AI246" s="828"/>
      <c r="AJ246" s="828"/>
      <c r="AK246" s="828"/>
      <c r="AL246" s="828"/>
      <c r="AM246" s="828"/>
      <c r="AN246" s="828"/>
      <c r="AO246" s="830"/>
      <c r="AP246" s="830"/>
      <c r="AQ246" s="830"/>
      <c r="AR246" s="830"/>
      <c r="AS246" s="830"/>
      <c r="AT246" s="835"/>
      <c r="AU246" s="835"/>
      <c r="AV246" s="828"/>
      <c r="AW246" s="944"/>
    </row>
    <row r="247" spans="2:52" s="196" customFormat="1" ht="58.5">
      <c r="B247" s="770"/>
      <c r="C247" s="878" t="s">
        <v>1323</v>
      </c>
      <c r="D247" s="820" t="s">
        <v>792</v>
      </c>
      <c r="E247" s="770" t="s">
        <v>1362</v>
      </c>
      <c r="F247" s="770">
        <v>9</v>
      </c>
      <c r="G247" s="821">
        <v>5005</v>
      </c>
      <c r="H247" s="824">
        <v>0.1</v>
      </c>
      <c r="I247" s="770">
        <f>G247*H247</f>
        <v>500.5</v>
      </c>
      <c r="J247" s="821"/>
      <c r="K247" s="821"/>
      <c r="L247" s="821"/>
      <c r="M247" s="821"/>
      <c r="N247" s="821"/>
      <c r="O247" s="821"/>
      <c r="P247" s="821"/>
      <c r="Q247" s="821"/>
      <c r="R247" s="821">
        <f t="shared" ref="R247:R253" si="349">G247+I247+K247+L247+N247+P247+Q247</f>
        <v>5505.5</v>
      </c>
      <c r="S247" s="821">
        <v>1</v>
      </c>
      <c r="T247" s="821"/>
      <c r="U247" s="821"/>
      <c r="V247" s="821"/>
      <c r="W247" s="821"/>
      <c r="X247" s="770">
        <v>32</v>
      </c>
      <c r="Y247" s="824">
        <v>0.3</v>
      </c>
      <c r="Z247" s="821">
        <f t="shared" ref="Z247:Z253" si="350">R247*Y247</f>
        <v>1651.6499999999999</v>
      </c>
      <c r="AA247" s="821"/>
      <c r="AB247" s="821">
        <f t="shared" ref="AB247:AB252" si="351">(R247+Z247)*S247+AA247</f>
        <v>7157.15</v>
      </c>
      <c r="AC247" s="825">
        <f t="shared" ref="AC247:AC253" si="352">AF247</f>
        <v>6342.85</v>
      </c>
      <c r="AD247" s="825">
        <f t="shared" ref="AD247:AD253" si="353">AB247+AC247</f>
        <v>13500</v>
      </c>
      <c r="AE247" s="826">
        <f t="shared" ref="AE247:AE253" si="354">13500*S247</f>
        <v>13500</v>
      </c>
      <c r="AF247" s="826">
        <f t="shared" ref="AF247:AF253" si="355">AE247-AB247</f>
        <v>6342.85</v>
      </c>
      <c r="AG247" s="827">
        <f t="shared" ref="AG247:AG253" si="356">6700*S247</f>
        <v>6700</v>
      </c>
      <c r="AH247" s="885"/>
      <c r="AI247" s="828">
        <f t="shared" ref="AI247:AI253" si="357">G247*S247</f>
        <v>5005</v>
      </c>
      <c r="AJ247" s="828">
        <f t="shared" ref="AJ247:AJ253" si="358">G247*T247</f>
        <v>0</v>
      </c>
      <c r="AK247" s="828">
        <f t="shared" ref="AK247:AK253" si="359">R247*S247</f>
        <v>5505.5</v>
      </c>
      <c r="AL247" s="828">
        <f t="shared" ref="AL247:AL253" si="360">R247*T247</f>
        <v>0</v>
      </c>
      <c r="AM247" s="828">
        <f t="shared" ref="AM247:AM253" si="361">AK247-AI247</f>
        <v>500.5</v>
      </c>
      <c r="AN247" s="828">
        <f t="shared" ref="AN247:AN253" si="362">AL247-AJ247</f>
        <v>0</v>
      </c>
      <c r="AO247" s="830">
        <f t="shared" ref="AO247:AO253" si="363">Z247*S247</f>
        <v>1651.6499999999999</v>
      </c>
      <c r="AP247" s="830">
        <f t="shared" ref="AP247:AP253" si="364">Z247*T247</f>
        <v>0</v>
      </c>
      <c r="AQ247" s="830">
        <f t="shared" ref="AQ247:AQ253" si="365">AA247</f>
        <v>0</v>
      </c>
      <c r="AR247" s="830">
        <f t="shared" ref="AR247:AR253" si="366">W247*S247</f>
        <v>0</v>
      </c>
      <c r="AS247" s="830">
        <f t="shared" ref="AS247:AS253" si="367">W247*T247</f>
        <v>0</v>
      </c>
      <c r="AT247" s="835">
        <f t="shared" si="295"/>
        <v>5505.5</v>
      </c>
      <c r="AU247" s="835">
        <f t="shared" si="296"/>
        <v>0</v>
      </c>
      <c r="AV247" s="828"/>
      <c r="AW247" s="944">
        <f t="shared" ref="AW247:AW259" si="368">AT247+AU247-AV247</f>
        <v>5505.5</v>
      </c>
    </row>
    <row r="248" spans="2:52" s="196" customFormat="1" ht="58.5">
      <c r="B248" s="770"/>
      <c r="C248" s="819" t="s">
        <v>1306</v>
      </c>
      <c r="D248" s="820" t="s">
        <v>1352</v>
      </c>
      <c r="E248" s="770" t="s">
        <v>1353</v>
      </c>
      <c r="F248" s="770">
        <v>9</v>
      </c>
      <c r="G248" s="821">
        <v>5005</v>
      </c>
      <c r="H248" s="821"/>
      <c r="I248" s="821"/>
      <c r="J248" s="824"/>
      <c r="K248" s="824"/>
      <c r="L248" s="824"/>
      <c r="M248" s="821"/>
      <c r="N248" s="821"/>
      <c r="O248" s="821"/>
      <c r="P248" s="831"/>
      <c r="Q248" s="831"/>
      <c r="R248" s="821">
        <f t="shared" si="349"/>
        <v>5005</v>
      </c>
      <c r="S248" s="821">
        <v>1</v>
      </c>
      <c r="T248" s="821"/>
      <c r="U248" s="831"/>
      <c r="V248" s="831"/>
      <c r="W248" s="831"/>
      <c r="X248" s="770">
        <v>31</v>
      </c>
      <c r="Y248" s="824">
        <v>0.3</v>
      </c>
      <c r="Z248" s="821">
        <f t="shared" si="350"/>
        <v>1501.5</v>
      </c>
      <c r="AA248" s="821">
        <f>AH248</f>
        <v>193.5</v>
      </c>
      <c r="AB248" s="821">
        <f t="shared" si="351"/>
        <v>6700</v>
      </c>
      <c r="AC248" s="825">
        <f t="shared" si="352"/>
        <v>6800</v>
      </c>
      <c r="AD248" s="825">
        <f t="shared" si="353"/>
        <v>13500</v>
      </c>
      <c r="AE248" s="826">
        <f t="shared" si="354"/>
        <v>13500</v>
      </c>
      <c r="AF248" s="826">
        <f t="shared" si="355"/>
        <v>6800</v>
      </c>
      <c r="AG248" s="827">
        <f t="shared" si="356"/>
        <v>6700</v>
      </c>
      <c r="AH248" s="826">
        <f>AG248-(R248*S248)-Z248</f>
        <v>193.5</v>
      </c>
      <c r="AI248" s="828">
        <f t="shared" si="357"/>
        <v>5005</v>
      </c>
      <c r="AJ248" s="828">
        <f t="shared" si="358"/>
        <v>0</v>
      </c>
      <c r="AK248" s="828">
        <f t="shared" si="359"/>
        <v>5005</v>
      </c>
      <c r="AL248" s="828">
        <f t="shared" si="360"/>
        <v>0</v>
      </c>
      <c r="AM248" s="828">
        <f t="shared" si="361"/>
        <v>0</v>
      </c>
      <c r="AN248" s="828">
        <f t="shared" si="362"/>
        <v>0</v>
      </c>
      <c r="AO248" s="830">
        <f t="shared" si="363"/>
        <v>1501.5</v>
      </c>
      <c r="AP248" s="830">
        <f t="shared" si="364"/>
        <v>0</v>
      </c>
      <c r="AQ248" s="830">
        <f t="shared" si="365"/>
        <v>193.5</v>
      </c>
      <c r="AR248" s="830">
        <f t="shared" si="366"/>
        <v>0</v>
      </c>
      <c r="AS248" s="830">
        <f t="shared" si="367"/>
        <v>0</v>
      </c>
      <c r="AT248" s="835">
        <f t="shared" si="295"/>
        <v>5005</v>
      </c>
      <c r="AU248" s="835">
        <f t="shared" si="296"/>
        <v>0</v>
      </c>
      <c r="AV248" s="828"/>
      <c r="AW248" s="944">
        <f t="shared" si="368"/>
        <v>5005</v>
      </c>
    </row>
    <row r="249" spans="2:52" s="196" customFormat="1" ht="58.5">
      <c r="B249" s="770"/>
      <c r="C249" s="819" t="s">
        <v>1306</v>
      </c>
      <c r="D249" s="820" t="s">
        <v>1354</v>
      </c>
      <c r="E249" s="770" t="s">
        <v>1355</v>
      </c>
      <c r="F249" s="770">
        <v>9</v>
      </c>
      <c r="G249" s="821">
        <v>5005</v>
      </c>
      <c r="H249" s="821"/>
      <c r="I249" s="821"/>
      <c r="J249" s="821"/>
      <c r="K249" s="821"/>
      <c r="L249" s="821"/>
      <c r="M249" s="821"/>
      <c r="N249" s="821"/>
      <c r="O249" s="821"/>
      <c r="P249" s="821"/>
      <c r="Q249" s="821"/>
      <c r="R249" s="821">
        <f t="shared" si="349"/>
        <v>5005</v>
      </c>
      <c r="S249" s="821">
        <f>0.5+0.5</f>
        <v>1</v>
      </c>
      <c r="T249" s="831"/>
      <c r="U249" s="831"/>
      <c r="V249" s="831"/>
      <c r="W249" s="831"/>
      <c r="X249" s="770">
        <v>35</v>
      </c>
      <c r="Y249" s="824">
        <v>0.3</v>
      </c>
      <c r="Z249" s="821">
        <f t="shared" si="350"/>
        <v>1501.5</v>
      </c>
      <c r="AA249" s="821">
        <f>AH249</f>
        <v>193.5</v>
      </c>
      <c r="AB249" s="821">
        <f t="shared" si="351"/>
        <v>6700</v>
      </c>
      <c r="AC249" s="825">
        <f>AF249</f>
        <v>6800</v>
      </c>
      <c r="AD249" s="825">
        <f>AB249+AC249</f>
        <v>13500</v>
      </c>
      <c r="AE249" s="826">
        <f>13500*S249</f>
        <v>13500</v>
      </c>
      <c r="AF249" s="826">
        <f>AE249-AB249</f>
        <v>6800</v>
      </c>
      <c r="AG249" s="827">
        <f>6700*S249</f>
        <v>6700</v>
      </c>
      <c r="AH249" s="826">
        <f>AG249-(R249*S249)-Z249</f>
        <v>193.5</v>
      </c>
      <c r="AI249" s="828">
        <f t="shared" si="357"/>
        <v>5005</v>
      </c>
      <c r="AJ249" s="828">
        <f t="shared" si="358"/>
        <v>0</v>
      </c>
      <c r="AK249" s="828">
        <f t="shared" si="359"/>
        <v>5005</v>
      </c>
      <c r="AL249" s="828">
        <f t="shared" si="360"/>
        <v>0</v>
      </c>
      <c r="AM249" s="828">
        <f t="shared" si="361"/>
        <v>0</v>
      </c>
      <c r="AN249" s="828">
        <f t="shared" si="362"/>
        <v>0</v>
      </c>
      <c r="AO249" s="830">
        <f t="shared" si="363"/>
        <v>1501.5</v>
      </c>
      <c r="AP249" s="830">
        <f t="shared" si="364"/>
        <v>0</v>
      </c>
      <c r="AQ249" s="830">
        <f t="shared" si="365"/>
        <v>193.5</v>
      </c>
      <c r="AR249" s="830">
        <f t="shared" si="366"/>
        <v>0</v>
      </c>
      <c r="AS249" s="830">
        <f t="shared" si="367"/>
        <v>0</v>
      </c>
      <c r="AT249" s="835">
        <f t="shared" si="295"/>
        <v>5005</v>
      </c>
      <c r="AU249" s="835">
        <f t="shared" si="296"/>
        <v>0</v>
      </c>
      <c r="AV249" s="828"/>
      <c r="AW249" s="944">
        <f t="shared" si="368"/>
        <v>5005</v>
      </c>
    </row>
    <row r="250" spans="2:52" s="196" customFormat="1" ht="58.5">
      <c r="B250" s="770"/>
      <c r="C250" s="819" t="s">
        <v>1306</v>
      </c>
      <c r="D250" s="820" t="s">
        <v>1350</v>
      </c>
      <c r="E250" s="770" t="s">
        <v>1351</v>
      </c>
      <c r="F250" s="770">
        <v>9</v>
      </c>
      <c r="G250" s="821">
        <v>5005</v>
      </c>
      <c r="H250" s="821"/>
      <c r="I250" s="821"/>
      <c r="J250" s="821"/>
      <c r="K250" s="821"/>
      <c r="L250" s="821"/>
      <c r="M250" s="821"/>
      <c r="N250" s="821"/>
      <c r="O250" s="821"/>
      <c r="P250" s="821"/>
      <c r="Q250" s="821"/>
      <c r="R250" s="821">
        <f t="shared" si="349"/>
        <v>5005</v>
      </c>
      <c r="S250" s="821">
        <v>1</v>
      </c>
      <c r="T250" s="821"/>
      <c r="U250" s="821"/>
      <c r="V250" s="821"/>
      <c r="W250" s="821"/>
      <c r="X250" s="770">
        <v>29</v>
      </c>
      <c r="Y250" s="824">
        <v>0.3</v>
      </c>
      <c r="Z250" s="821">
        <f t="shared" si="350"/>
        <v>1501.5</v>
      </c>
      <c r="AA250" s="821">
        <f>AH250</f>
        <v>193.5</v>
      </c>
      <c r="AB250" s="821">
        <f t="shared" si="351"/>
        <v>6700</v>
      </c>
      <c r="AC250" s="825">
        <f>AF250</f>
        <v>6800</v>
      </c>
      <c r="AD250" s="825">
        <f>AB250+AC250</f>
        <v>13500</v>
      </c>
      <c r="AE250" s="826">
        <f>13500*S250</f>
        <v>13500</v>
      </c>
      <c r="AF250" s="826">
        <f>AE250-AB250</f>
        <v>6800</v>
      </c>
      <c r="AG250" s="827">
        <f>6700*S250</f>
        <v>6700</v>
      </c>
      <c r="AH250" s="826">
        <f>AG250-(R250*S250)-Z250</f>
        <v>193.5</v>
      </c>
      <c r="AI250" s="828">
        <f t="shared" si="357"/>
        <v>5005</v>
      </c>
      <c r="AJ250" s="828">
        <f t="shared" si="358"/>
        <v>0</v>
      </c>
      <c r="AK250" s="828">
        <f t="shared" si="359"/>
        <v>5005</v>
      </c>
      <c r="AL250" s="828">
        <f t="shared" si="360"/>
        <v>0</v>
      </c>
      <c r="AM250" s="828">
        <f t="shared" si="361"/>
        <v>0</v>
      </c>
      <c r="AN250" s="828">
        <f t="shared" si="362"/>
        <v>0</v>
      </c>
      <c r="AO250" s="830">
        <f t="shared" si="363"/>
        <v>1501.5</v>
      </c>
      <c r="AP250" s="830">
        <f t="shared" si="364"/>
        <v>0</v>
      </c>
      <c r="AQ250" s="830">
        <f t="shared" si="365"/>
        <v>193.5</v>
      </c>
      <c r="AR250" s="830">
        <f t="shared" si="366"/>
        <v>0</v>
      </c>
      <c r="AS250" s="830">
        <f t="shared" si="367"/>
        <v>0</v>
      </c>
      <c r="AT250" s="835">
        <f t="shared" si="295"/>
        <v>5005</v>
      </c>
      <c r="AU250" s="835">
        <f t="shared" si="296"/>
        <v>0</v>
      </c>
      <c r="AV250" s="828"/>
      <c r="AW250" s="944">
        <f t="shared" si="368"/>
        <v>5005</v>
      </c>
      <c r="AX250" s="198"/>
      <c r="AY250" s="198"/>
    </row>
    <row r="251" spans="2:52" s="196" customFormat="1" ht="58.5">
      <c r="B251" s="770"/>
      <c r="C251" s="819" t="s">
        <v>1306</v>
      </c>
      <c r="D251" s="820" t="s">
        <v>1390</v>
      </c>
      <c r="E251" s="770" t="s">
        <v>1391</v>
      </c>
      <c r="F251" s="770">
        <v>9</v>
      </c>
      <c r="G251" s="821">
        <v>5005</v>
      </c>
      <c r="H251" s="821"/>
      <c r="I251" s="821"/>
      <c r="J251" s="821"/>
      <c r="K251" s="821"/>
      <c r="L251" s="821"/>
      <c r="M251" s="821"/>
      <c r="N251" s="821"/>
      <c r="O251" s="821"/>
      <c r="P251" s="821"/>
      <c r="Q251" s="821"/>
      <c r="R251" s="821">
        <f t="shared" si="349"/>
        <v>5005</v>
      </c>
      <c r="S251" s="821">
        <v>1</v>
      </c>
      <c r="T251" s="821"/>
      <c r="U251" s="821"/>
      <c r="V251" s="821"/>
      <c r="W251" s="821"/>
      <c r="X251" s="770">
        <v>33</v>
      </c>
      <c r="Y251" s="824">
        <v>0.3</v>
      </c>
      <c r="Z251" s="821">
        <f t="shared" si="350"/>
        <v>1501.5</v>
      </c>
      <c r="AA251" s="821">
        <f>AH251</f>
        <v>193.5</v>
      </c>
      <c r="AB251" s="821">
        <f t="shared" si="351"/>
        <v>6700</v>
      </c>
      <c r="AC251" s="825">
        <f>AF251</f>
        <v>6800</v>
      </c>
      <c r="AD251" s="825">
        <f>AB251+AC251</f>
        <v>13500</v>
      </c>
      <c r="AE251" s="826">
        <f>13500*S251</f>
        <v>13500</v>
      </c>
      <c r="AF251" s="826">
        <f>AE251-AB251</f>
        <v>6800</v>
      </c>
      <c r="AG251" s="827">
        <f>6700*S251</f>
        <v>6700</v>
      </c>
      <c r="AH251" s="826">
        <f>AG251-(R251*S251)-Z251</f>
        <v>193.5</v>
      </c>
      <c r="AI251" s="828">
        <f t="shared" si="357"/>
        <v>5005</v>
      </c>
      <c r="AJ251" s="828">
        <f t="shared" si="358"/>
        <v>0</v>
      </c>
      <c r="AK251" s="828">
        <f t="shared" si="359"/>
        <v>5005</v>
      </c>
      <c r="AL251" s="828">
        <f t="shared" si="360"/>
        <v>0</v>
      </c>
      <c r="AM251" s="828">
        <f t="shared" si="361"/>
        <v>0</v>
      </c>
      <c r="AN251" s="828">
        <f t="shared" si="362"/>
        <v>0</v>
      </c>
      <c r="AO251" s="830">
        <f t="shared" si="363"/>
        <v>1501.5</v>
      </c>
      <c r="AP251" s="830">
        <f t="shared" si="364"/>
        <v>0</v>
      </c>
      <c r="AQ251" s="830">
        <f t="shared" si="365"/>
        <v>193.5</v>
      </c>
      <c r="AR251" s="830">
        <f t="shared" si="366"/>
        <v>0</v>
      </c>
      <c r="AS251" s="830">
        <f t="shared" si="367"/>
        <v>0</v>
      </c>
      <c r="AT251" s="835">
        <f t="shared" si="295"/>
        <v>5005</v>
      </c>
      <c r="AU251" s="835">
        <f t="shared" si="296"/>
        <v>0</v>
      </c>
      <c r="AV251" s="828"/>
      <c r="AW251" s="944">
        <f t="shared" si="368"/>
        <v>5005</v>
      </c>
      <c r="AX251" s="198"/>
      <c r="AY251" s="198"/>
    </row>
    <row r="252" spans="2:52" s="196" customFormat="1" ht="58.5">
      <c r="B252" s="770"/>
      <c r="C252" s="819" t="s">
        <v>1306</v>
      </c>
      <c r="D252" s="820" t="s">
        <v>1678</v>
      </c>
      <c r="E252" s="770" t="s">
        <v>1356</v>
      </c>
      <c r="F252" s="770">
        <v>9</v>
      </c>
      <c r="G252" s="821">
        <v>5005</v>
      </c>
      <c r="H252" s="821"/>
      <c r="I252" s="821"/>
      <c r="J252" s="821"/>
      <c r="K252" s="821"/>
      <c r="L252" s="821"/>
      <c r="M252" s="821"/>
      <c r="N252" s="821"/>
      <c r="O252" s="821"/>
      <c r="P252" s="821"/>
      <c r="Q252" s="821"/>
      <c r="R252" s="821">
        <f t="shared" si="349"/>
        <v>5005</v>
      </c>
      <c r="S252" s="821">
        <v>1</v>
      </c>
      <c r="T252" s="821"/>
      <c r="U252" s="821"/>
      <c r="V252" s="821"/>
      <c r="W252" s="821"/>
      <c r="X252" s="770">
        <v>32</v>
      </c>
      <c r="Y252" s="824">
        <v>0.3</v>
      </c>
      <c r="Z252" s="821">
        <f t="shared" si="350"/>
        <v>1501.5</v>
      </c>
      <c r="AA252" s="821">
        <f>AH252</f>
        <v>193.5</v>
      </c>
      <c r="AB252" s="821">
        <f t="shared" si="351"/>
        <v>6700</v>
      </c>
      <c r="AC252" s="825">
        <f>AF252</f>
        <v>6800</v>
      </c>
      <c r="AD252" s="825">
        <f>AB252+AC252</f>
        <v>13500</v>
      </c>
      <c r="AE252" s="826">
        <f>13500*S252</f>
        <v>13500</v>
      </c>
      <c r="AF252" s="826">
        <f>AE252-AB252</f>
        <v>6800</v>
      </c>
      <c r="AG252" s="827">
        <f>6700*S252</f>
        <v>6700</v>
      </c>
      <c r="AH252" s="826">
        <f>AG252-(R252*S252)-Z252</f>
        <v>193.5</v>
      </c>
      <c r="AI252" s="828">
        <f t="shared" si="357"/>
        <v>5005</v>
      </c>
      <c r="AJ252" s="828">
        <f t="shared" si="358"/>
        <v>0</v>
      </c>
      <c r="AK252" s="828">
        <f t="shared" si="359"/>
        <v>5005</v>
      </c>
      <c r="AL252" s="828">
        <f t="shared" si="360"/>
        <v>0</v>
      </c>
      <c r="AM252" s="828">
        <f t="shared" si="361"/>
        <v>0</v>
      </c>
      <c r="AN252" s="828">
        <f t="shared" si="362"/>
        <v>0</v>
      </c>
      <c r="AO252" s="830">
        <f t="shared" si="363"/>
        <v>1501.5</v>
      </c>
      <c r="AP252" s="830">
        <f t="shared" si="364"/>
        <v>0</v>
      </c>
      <c r="AQ252" s="830">
        <f t="shared" si="365"/>
        <v>193.5</v>
      </c>
      <c r="AR252" s="830">
        <f t="shared" si="366"/>
        <v>0</v>
      </c>
      <c r="AS252" s="830">
        <f t="shared" si="367"/>
        <v>0</v>
      </c>
      <c r="AT252" s="835">
        <f t="shared" si="295"/>
        <v>5005</v>
      </c>
      <c r="AU252" s="835">
        <f t="shared" si="296"/>
        <v>0</v>
      </c>
      <c r="AV252" s="828"/>
      <c r="AW252" s="944">
        <f t="shared" si="368"/>
        <v>5005</v>
      </c>
    </row>
    <row r="253" spans="2:52" s="196" customFormat="1" ht="63">
      <c r="B253" s="770"/>
      <c r="C253" s="819" t="s">
        <v>1393</v>
      </c>
      <c r="D253" s="820" t="s">
        <v>1394</v>
      </c>
      <c r="E253" s="770" t="s">
        <v>1395</v>
      </c>
      <c r="F253" s="770">
        <v>10</v>
      </c>
      <c r="G253" s="821">
        <v>5265</v>
      </c>
      <c r="H253" s="821"/>
      <c r="I253" s="821"/>
      <c r="J253" s="821"/>
      <c r="K253" s="821"/>
      <c r="L253" s="821"/>
      <c r="M253" s="821"/>
      <c r="N253" s="821"/>
      <c r="O253" s="821"/>
      <c r="P253" s="821"/>
      <c r="Q253" s="821"/>
      <c r="R253" s="821">
        <f t="shared" si="349"/>
        <v>5265</v>
      </c>
      <c r="S253" s="821">
        <v>1</v>
      </c>
      <c r="T253" s="821"/>
      <c r="U253" s="821"/>
      <c r="V253" s="821"/>
      <c r="W253" s="821"/>
      <c r="X253" s="770">
        <v>38</v>
      </c>
      <c r="Y253" s="824">
        <v>0.3</v>
      </c>
      <c r="Z253" s="821">
        <f t="shared" si="350"/>
        <v>1579.5</v>
      </c>
      <c r="AA253" s="821"/>
      <c r="AB253" s="821">
        <f>(R253+Z253)*S253</f>
        <v>6844.5</v>
      </c>
      <c r="AC253" s="825">
        <f t="shared" si="352"/>
        <v>6655.5</v>
      </c>
      <c r="AD253" s="825">
        <f t="shared" si="353"/>
        <v>13500</v>
      </c>
      <c r="AE253" s="826">
        <f t="shared" si="354"/>
        <v>13500</v>
      </c>
      <c r="AF253" s="826">
        <f t="shared" si="355"/>
        <v>6655.5</v>
      </c>
      <c r="AG253" s="827">
        <f t="shared" si="356"/>
        <v>6700</v>
      </c>
      <c r="AH253" s="826"/>
      <c r="AI253" s="828">
        <f t="shared" si="357"/>
        <v>5265</v>
      </c>
      <c r="AJ253" s="828">
        <f t="shared" si="358"/>
        <v>0</v>
      </c>
      <c r="AK253" s="828">
        <f t="shared" si="359"/>
        <v>5265</v>
      </c>
      <c r="AL253" s="828">
        <f t="shared" si="360"/>
        <v>0</v>
      </c>
      <c r="AM253" s="828">
        <f t="shared" si="361"/>
        <v>0</v>
      </c>
      <c r="AN253" s="828">
        <f t="shared" si="362"/>
        <v>0</v>
      </c>
      <c r="AO253" s="830">
        <f t="shared" si="363"/>
        <v>1579.5</v>
      </c>
      <c r="AP253" s="830">
        <f t="shared" si="364"/>
        <v>0</v>
      </c>
      <c r="AQ253" s="830">
        <f t="shared" si="365"/>
        <v>0</v>
      </c>
      <c r="AR253" s="830">
        <f t="shared" si="366"/>
        <v>0</v>
      </c>
      <c r="AS253" s="830">
        <f t="shared" si="367"/>
        <v>0</v>
      </c>
      <c r="AT253" s="835">
        <f t="shared" si="295"/>
        <v>5265</v>
      </c>
      <c r="AU253" s="835">
        <f t="shared" si="296"/>
        <v>0</v>
      </c>
      <c r="AV253" s="828"/>
      <c r="AW253" s="944">
        <f t="shared" si="368"/>
        <v>5265</v>
      </c>
    </row>
    <row r="254" spans="2:52" s="196" customFormat="1" ht="31.5">
      <c r="B254" s="770"/>
      <c r="C254" s="799" t="s">
        <v>504</v>
      </c>
      <c r="D254" s="832"/>
      <c r="E254" s="812"/>
      <c r="F254" s="812"/>
      <c r="G254" s="802">
        <f>SUM(G247:G253)</f>
        <v>35295</v>
      </c>
      <c r="H254" s="875"/>
      <c r="I254" s="802">
        <f>SUM(I247:I253)</f>
        <v>500.5</v>
      </c>
      <c r="J254" s="813"/>
      <c r="K254" s="812"/>
      <c r="L254" s="812"/>
      <c r="M254" s="813"/>
      <c r="N254" s="812"/>
      <c r="O254" s="813"/>
      <c r="P254" s="812"/>
      <c r="Q254" s="812"/>
      <c r="R254" s="802">
        <f>SUM(R247:R253)</f>
        <v>35795.5</v>
      </c>
      <c r="S254" s="802">
        <f>SUM(S247:S253)</f>
        <v>7</v>
      </c>
      <c r="T254" s="802">
        <f>SUM(T247:T253)</f>
        <v>0</v>
      </c>
      <c r="U254" s="802"/>
      <c r="V254" s="802"/>
      <c r="W254" s="802"/>
      <c r="X254" s="802"/>
      <c r="Y254" s="802"/>
      <c r="Z254" s="802">
        <f t="shared" ref="Z254:AW254" si="369">SUM(Z247:Z253)</f>
        <v>10738.65</v>
      </c>
      <c r="AA254" s="802">
        <f t="shared" si="369"/>
        <v>967.5</v>
      </c>
      <c r="AB254" s="802">
        <f t="shared" si="369"/>
        <v>47501.65</v>
      </c>
      <c r="AC254" s="802">
        <f t="shared" si="369"/>
        <v>46998.35</v>
      </c>
      <c r="AD254" s="802">
        <f t="shared" si="369"/>
        <v>94500</v>
      </c>
      <c r="AE254" s="802">
        <f t="shared" si="369"/>
        <v>94500</v>
      </c>
      <c r="AF254" s="802">
        <f t="shared" si="369"/>
        <v>46998.35</v>
      </c>
      <c r="AG254" s="802">
        <f t="shared" si="369"/>
        <v>46900</v>
      </c>
      <c r="AH254" s="802">
        <f t="shared" si="369"/>
        <v>967.5</v>
      </c>
      <c r="AI254" s="802">
        <f t="shared" si="369"/>
        <v>35295</v>
      </c>
      <c r="AJ254" s="802">
        <f t="shared" si="369"/>
        <v>0</v>
      </c>
      <c r="AK254" s="802">
        <f t="shared" si="369"/>
        <v>35795.5</v>
      </c>
      <c r="AL254" s="802">
        <f t="shared" si="369"/>
        <v>0</v>
      </c>
      <c r="AM254" s="802">
        <f t="shared" si="369"/>
        <v>500.5</v>
      </c>
      <c r="AN254" s="802">
        <f t="shared" si="369"/>
        <v>0</v>
      </c>
      <c r="AO254" s="802">
        <f t="shared" si="369"/>
        <v>10738.65</v>
      </c>
      <c r="AP254" s="802">
        <f t="shared" si="369"/>
        <v>0</v>
      </c>
      <c r="AQ254" s="802">
        <f t="shared" si="369"/>
        <v>967.5</v>
      </c>
      <c r="AR254" s="802">
        <f t="shared" si="369"/>
        <v>0</v>
      </c>
      <c r="AS254" s="802">
        <f t="shared" si="369"/>
        <v>0</v>
      </c>
      <c r="AT254" s="802">
        <f t="shared" si="369"/>
        <v>35795.5</v>
      </c>
      <c r="AU254" s="802">
        <f t="shared" si="369"/>
        <v>0</v>
      </c>
      <c r="AV254" s="802">
        <f t="shared" si="369"/>
        <v>0</v>
      </c>
      <c r="AW254" s="802">
        <f t="shared" si="369"/>
        <v>35795.5</v>
      </c>
      <c r="AX254" s="198"/>
      <c r="AY254" s="198"/>
    </row>
    <row r="255" spans="2:52" s="196" customFormat="1" ht="33">
      <c r="B255" s="770"/>
      <c r="C255" s="810" t="s">
        <v>1407</v>
      </c>
      <c r="D255" s="811"/>
      <c r="E255" s="812"/>
      <c r="F255" s="812"/>
      <c r="G255" s="812"/>
      <c r="H255" s="813"/>
      <c r="I255" s="812"/>
      <c r="J255" s="813"/>
      <c r="K255" s="812"/>
      <c r="L255" s="812"/>
      <c r="M255" s="813"/>
      <c r="N255" s="812"/>
      <c r="O255" s="813"/>
      <c r="P255" s="812"/>
      <c r="Q255" s="812"/>
      <c r="R255" s="812"/>
      <c r="S255" s="812"/>
      <c r="T255" s="812"/>
      <c r="U255" s="812"/>
      <c r="V255" s="812"/>
      <c r="W255" s="812"/>
      <c r="X255" s="812"/>
      <c r="Y255" s="812"/>
      <c r="Z255" s="812"/>
      <c r="AA255" s="812"/>
      <c r="AB255" s="812"/>
      <c r="AC255" s="834"/>
      <c r="AD255" s="834"/>
      <c r="AE255" s="815"/>
      <c r="AF255" s="815"/>
      <c r="AG255" s="816"/>
      <c r="AH255" s="815"/>
      <c r="AI255" s="828"/>
      <c r="AJ255" s="828"/>
      <c r="AK255" s="828"/>
      <c r="AL255" s="828"/>
      <c r="AM255" s="828"/>
      <c r="AN255" s="828"/>
      <c r="AO255" s="830"/>
      <c r="AP255" s="830"/>
      <c r="AQ255" s="830"/>
      <c r="AR255" s="830"/>
      <c r="AS255" s="830"/>
      <c r="AT255" s="835"/>
      <c r="AU255" s="835"/>
      <c r="AV255" s="828"/>
      <c r="AW255" s="944"/>
      <c r="AX255" s="198"/>
      <c r="AY255" s="198"/>
      <c r="AZ255" s="198"/>
    </row>
    <row r="256" spans="2:52" s="196" customFormat="1" ht="63">
      <c r="B256" s="770"/>
      <c r="C256" s="819" t="s">
        <v>1408</v>
      </c>
      <c r="D256" s="820"/>
      <c r="E256" s="770" t="s">
        <v>511</v>
      </c>
      <c r="F256" s="770">
        <v>7</v>
      </c>
      <c r="G256" s="821">
        <v>4455</v>
      </c>
      <c r="H256" s="821"/>
      <c r="I256" s="821"/>
      <c r="J256" s="821"/>
      <c r="K256" s="821"/>
      <c r="L256" s="821"/>
      <c r="M256" s="821"/>
      <c r="N256" s="821"/>
      <c r="O256" s="821"/>
      <c r="P256" s="821"/>
      <c r="Q256" s="821"/>
      <c r="R256" s="821">
        <f>G256+I256+K256+L256+N256+P256+Q256</f>
        <v>4455</v>
      </c>
      <c r="S256" s="821">
        <v>1</v>
      </c>
      <c r="T256" s="821"/>
      <c r="U256" s="821"/>
      <c r="V256" s="821"/>
      <c r="W256" s="821"/>
      <c r="X256" s="770"/>
      <c r="Y256" s="824">
        <v>0</v>
      </c>
      <c r="Z256" s="821">
        <f>R256*Y256</f>
        <v>0</v>
      </c>
      <c r="AA256" s="821">
        <f>AH256</f>
        <v>2245</v>
      </c>
      <c r="AB256" s="821">
        <f>(R256+Z256)*S256+AA256</f>
        <v>6700</v>
      </c>
      <c r="AC256" s="825">
        <f>AF256</f>
        <v>6800</v>
      </c>
      <c r="AD256" s="825">
        <f>AB256+AC256</f>
        <v>13500</v>
      </c>
      <c r="AE256" s="826">
        <f>13500*S256</f>
        <v>13500</v>
      </c>
      <c r="AF256" s="826">
        <f>AE256-AB256</f>
        <v>6800</v>
      </c>
      <c r="AG256" s="827">
        <f>6700*S256</f>
        <v>6700</v>
      </c>
      <c r="AH256" s="826">
        <f>AG256-(R256*S256)-Z256</f>
        <v>2245</v>
      </c>
      <c r="AI256" s="828">
        <f>G256*S256</f>
        <v>4455</v>
      </c>
      <c r="AJ256" s="828">
        <f>G256*T256</f>
        <v>0</v>
      </c>
      <c r="AK256" s="828">
        <f>R256*S256</f>
        <v>4455</v>
      </c>
      <c r="AL256" s="828">
        <f>R256*T256</f>
        <v>0</v>
      </c>
      <c r="AM256" s="828">
        <f t="shared" ref="AM256:AN259" si="370">AK256-AI256</f>
        <v>0</v>
      </c>
      <c r="AN256" s="828">
        <f t="shared" si="370"/>
        <v>0</v>
      </c>
      <c r="AO256" s="830">
        <f>Z256*S256</f>
        <v>0</v>
      </c>
      <c r="AP256" s="830">
        <f>Z256*T256</f>
        <v>0</v>
      </c>
      <c r="AQ256" s="830">
        <f>AA256</f>
        <v>2245</v>
      </c>
      <c r="AR256" s="830">
        <f>W256*S256</f>
        <v>0</v>
      </c>
      <c r="AS256" s="830">
        <f>W256*T256</f>
        <v>0</v>
      </c>
      <c r="AT256" s="835">
        <f t="shared" si="295"/>
        <v>4455</v>
      </c>
      <c r="AU256" s="835">
        <f t="shared" si="296"/>
        <v>0</v>
      </c>
      <c r="AV256" s="828"/>
      <c r="AW256" s="944">
        <f t="shared" si="368"/>
        <v>4455</v>
      </c>
      <c r="AX256" s="199"/>
      <c r="AY256" s="199"/>
      <c r="AZ256" s="199"/>
    </row>
    <row r="257" spans="2:52" s="196" customFormat="1" ht="87.75">
      <c r="B257" s="770"/>
      <c r="C257" s="819" t="s">
        <v>1408</v>
      </c>
      <c r="D257" s="820" t="s">
        <v>1410</v>
      </c>
      <c r="E257" s="770" t="s">
        <v>1411</v>
      </c>
      <c r="F257" s="770">
        <v>10</v>
      </c>
      <c r="G257" s="821">
        <v>5265</v>
      </c>
      <c r="H257" s="821"/>
      <c r="I257" s="821"/>
      <c r="J257" s="821"/>
      <c r="K257" s="821"/>
      <c r="L257" s="821"/>
      <c r="M257" s="821"/>
      <c r="N257" s="821"/>
      <c r="O257" s="821"/>
      <c r="P257" s="821"/>
      <c r="Q257" s="821"/>
      <c r="R257" s="821">
        <f>G257+I257+K257+L257+N257+P257+Q257</f>
        <v>5265</v>
      </c>
      <c r="S257" s="821">
        <v>1</v>
      </c>
      <c r="T257" s="821"/>
      <c r="U257" s="821"/>
      <c r="V257" s="821"/>
      <c r="W257" s="821"/>
      <c r="X257" s="770">
        <v>36</v>
      </c>
      <c r="Y257" s="824">
        <v>0.3</v>
      </c>
      <c r="Z257" s="821">
        <f>R257*Y257</f>
        <v>1579.5</v>
      </c>
      <c r="AA257" s="821"/>
      <c r="AB257" s="821">
        <f>(R257+Z257)*S257</f>
        <v>6844.5</v>
      </c>
      <c r="AC257" s="825">
        <f>AF257</f>
        <v>6655.5</v>
      </c>
      <c r="AD257" s="825">
        <f>AB257+AC257</f>
        <v>13500</v>
      </c>
      <c r="AE257" s="826">
        <f>13500*S257</f>
        <v>13500</v>
      </c>
      <c r="AF257" s="826">
        <f>AE257-AB257</f>
        <v>6655.5</v>
      </c>
      <c r="AG257" s="827">
        <f>6700*S257</f>
        <v>6700</v>
      </c>
      <c r="AH257" s="826"/>
      <c r="AI257" s="828">
        <f>G257*S257</f>
        <v>5265</v>
      </c>
      <c r="AJ257" s="828">
        <f>G257*T257</f>
        <v>0</v>
      </c>
      <c r="AK257" s="828">
        <f>R257*S257</f>
        <v>5265</v>
      </c>
      <c r="AL257" s="828">
        <f>R257*T257</f>
        <v>0</v>
      </c>
      <c r="AM257" s="828">
        <f t="shared" si="370"/>
        <v>0</v>
      </c>
      <c r="AN257" s="828">
        <f t="shared" si="370"/>
        <v>0</v>
      </c>
      <c r="AO257" s="830">
        <f>Z257*S257</f>
        <v>1579.5</v>
      </c>
      <c r="AP257" s="830">
        <f>Z257*T257</f>
        <v>0</v>
      </c>
      <c r="AQ257" s="830">
        <f>AA257</f>
        <v>0</v>
      </c>
      <c r="AR257" s="830">
        <f>W257*S257</f>
        <v>0</v>
      </c>
      <c r="AS257" s="830">
        <f>W257*T257</f>
        <v>0</v>
      </c>
      <c r="AT257" s="835">
        <f t="shared" si="295"/>
        <v>5265</v>
      </c>
      <c r="AU257" s="835">
        <f t="shared" si="296"/>
        <v>0</v>
      </c>
      <c r="AV257" s="828"/>
      <c r="AW257" s="944">
        <f t="shared" si="368"/>
        <v>5265</v>
      </c>
      <c r="AX257" s="199"/>
      <c r="AY257" s="199"/>
      <c r="AZ257" s="199"/>
    </row>
    <row r="258" spans="2:52" s="196" customFormat="1" ht="63">
      <c r="B258" s="770"/>
      <c r="C258" s="819" t="s">
        <v>1408</v>
      </c>
      <c r="D258" s="820" t="s">
        <v>585</v>
      </c>
      <c r="E258" s="770" t="s">
        <v>1409</v>
      </c>
      <c r="F258" s="770">
        <v>10</v>
      </c>
      <c r="G258" s="821">
        <v>5265</v>
      </c>
      <c r="H258" s="821"/>
      <c r="I258" s="821"/>
      <c r="J258" s="821"/>
      <c r="K258" s="821"/>
      <c r="L258" s="821"/>
      <c r="M258" s="821"/>
      <c r="N258" s="821"/>
      <c r="O258" s="821"/>
      <c r="P258" s="821"/>
      <c r="Q258" s="831"/>
      <c r="R258" s="821">
        <f>G258+I258+K258+L258+N258+P258+Q258</f>
        <v>5265</v>
      </c>
      <c r="S258" s="821">
        <v>1</v>
      </c>
      <c r="T258" s="821"/>
      <c r="U258" s="831"/>
      <c r="V258" s="831"/>
      <c r="W258" s="831"/>
      <c r="X258" s="770">
        <v>31</v>
      </c>
      <c r="Y258" s="824">
        <v>0.3</v>
      </c>
      <c r="Z258" s="821">
        <f>R258*Y258</f>
        <v>1579.5</v>
      </c>
      <c r="AA258" s="821"/>
      <c r="AB258" s="821">
        <f>(R258+Z258)*S258</f>
        <v>6844.5</v>
      </c>
      <c r="AC258" s="825">
        <f>AF258</f>
        <v>6655.5</v>
      </c>
      <c r="AD258" s="825">
        <f>AB258+AC258</f>
        <v>13500</v>
      </c>
      <c r="AE258" s="826">
        <f>13500*S258</f>
        <v>13500</v>
      </c>
      <c r="AF258" s="826">
        <f>AE258-AB258</f>
        <v>6655.5</v>
      </c>
      <c r="AG258" s="827">
        <f>6700*S258</f>
        <v>6700</v>
      </c>
      <c r="AH258" s="826"/>
      <c r="AI258" s="828">
        <f>G258*S258</f>
        <v>5265</v>
      </c>
      <c r="AJ258" s="828">
        <f>G258*T258</f>
        <v>0</v>
      </c>
      <c r="AK258" s="828">
        <f>R258*S258</f>
        <v>5265</v>
      </c>
      <c r="AL258" s="828">
        <f>R258*T258</f>
        <v>0</v>
      </c>
      <c r="AM258" s="828">
        <f t="shared" si="370"/>
        <v>0</v>
      </c>
      <c r="AN258" s="828">
        <f t="shared" si="370"/>
        <v>0</v>
      </c>
      <c r="AO258" s="830">
        <f>Z258*S258</f>
        <v>1579.5</v>
      </c>
      <c r="AP258" s="830">
        <f>Z258*T258</f>
        <v>0</v>
      </c>
      <c r="AQ258" s="830">
        <f>AA258</f>
        <v>0</v>
      </c>
      <c r="AR258" s="830">
        <f>W258*S258</f>
        <v>0</v>
      </c>
      <c r="AS258" s="830">
        <f>W258*T258</f>
        <v>0</v>
      </c>
      <c r="AT258" s="835">
        <f t="shared" si="295"/>
        <v>5265</v>
      </c>
      <c r="AU258" s="835">
        <f t="shared" si="296"/>
        <v>0</v>
      </c>
      <c r="AV258" s="828"/>
      <c r="AW258" s="944">
        <f t="shared" si="368"/>
        <v>5265</v>
      </c>
    </row>
    <row r="259" spans="2:52" s="196" customFormat="1" ht="63">
      <c r="B259" s="770"/>
      <c r="C259" s="819" t="s">
        <v>1408</v>
      </c>
      <c r="D259" s="820" t="s">
        <v>586</v>
      </c>
      <c r="E259" s="770" t="s">
        <v>1412</v>
      </c>
      <c r="F259" s="770">
        <v>10</v>
      </c>
      <c r="G259" s="821">
        <v>5265</v>
      </c>
      <c r="H259" s="821"/>
      <c r="I259" s="821"/>
      <c r="J259" s="824"/>
      <c r="K259" s="824"/>
      <c r="L259" s="824"/>
      <c r="M259" s="821"/>
      <c r="N259" s="821"/>
      <c r="O259" s="821"/>
      <c r="P259" s="821"/>
      <c r="Q259" s="831"/>
      <c r="R259" s="821">
        <f>G259+I259+K259+L259+N259+P259+Q259</f>
        <v>5265</v>
      </c>
      <c r="S259" s="821">
        <v>1</v>
      </c>
      <c r="T259" s="821"/>
      <c r="U259" s="831"/>
      <c r="V259" s="831"/>
      <c r="W259" s="831"/>
      <c r="X259" s="770">
        <v>27</v>
      </c>
      <c r="Y259" s="824">
        <v>0.3</v>
      </c>
      <c r="Z259" s="821">
        <f>R259*Y259</f>
        <v>1579.5</v>
      </c>
      <c r="AA259" s="821"/>
      <c r="AB259" s="821">
        <f>(R259+Z259)*S259</f>
        <v>6844.5</v>
      </c>
      <c r="AC259" s="825">
        <f>AF259</f>
        <v>6655.5</v>
      </c>
      <c r="AD259" s="825">
        <f>AB259+AC259</f>
        <v>13500</v>
      </c>
      <c r="AE259" s="826">
        <f>13500*S259</f>
        <v>13500</v>
      </c>
      <c r="AF259" s="826">
        <f>AE259-AB259</f>
        <v>6655.5</v>
      </c>
      <c r="AG259" s="827">
        <f>6700*S259</f>
        <v>6700</v>
      </c>
      <c r="AH259" s="826"/>
      <c r="AI259" s="828">
        <f>G259*S259</f>
        <v>5265</v>
      </c>
      <c r="AJ259" s="828">
        <f>G259*T259</f>
        <v>0</v>
      </c>
      <c r="AK259" s="828">
        <f>R259*S259</f>
        <v>5265</v>
      </c>
      <c r="AL259" s="828">
        <f>R259*T259</f>
        <v>0</v>
      </c>
      <c r="AM259" s="828">
        <f t="shared" si="370"/>
        <v>0</v>
      </c>
      <c r="AN259" s="828">
        <f t="shared" si="370"/>
        <v>0</v>
      </c>
      <c r="AO259" s="830">
        <f>Z259*S259</f>
        <v>1579.5</v>
      </c>
      <c r="AP259" s="830">
        <f>Z259*T259</f>
        <v>0</v>
      </c>
      <c r="AQ259" s="830">
        <f>AA259</f>
        <v>0</v>
      </c>
      <c r="AR259" s="830">
        <f>W259*S259</f>
        <v>0</v>
      </c>
      <c r="AS259" s="830">
        <f>W259*T259</f>
        <v>0</v>
      </c>
      <c r="AT259" s="835">
        <f t="shared" si="295"/>
        <v>5265</v>
      </c>
      <c r="AU259" s="835">
        <f t="shared" si="296"/>
        <v>0</v>
      </c>
      <c r="AV259" s="828"/>
      <c r="AW259" s="944">
        <f t="shared" si="368"/>
        <v>5265</v>
      </c>
    </row>
    <row r="260" spans="2:52" s="196" customFormat="1" ht="31.5">
      <c r="B260" s="770"/>
      <c r="C260" s="799" t="s">
        <v>504</v>
      </c>
      <c r="D260" s="832"/>
      <c r="E260" s="812"/>
      <c r="F260" s="812"/>
      <c r="G260" s="802">
        <f>SUM(G256:G259)</f>
        <v>20250</v>
      </c>
      <c r="H260" s="813"/>
      <c r="I260" s="812"/>
      <c r="J260" s="813"/>
      <c r="K260" s="812"/>
      <c r="L260" s="812"/>
      <c r="M260" s="813"/>
      <c r="N260" s="812"/>
      <c r="O260" s="813"/>
      <c r="P260" s="812"/>
      <c r="Q260" s="812"/>
      <c r="R260" s="802">
        <f>SUM(R256:R259)</f>
        <v>20250</v>
      </c>
      <c r="S260" s="802">
        <f>SUM(S256:S259)</f>
        <v>4</v>
      </c>
      <c r="T260" s="802">
        <f>SUM(T256:T259)</f>
        <v>0</v>
      </c>
      <c r="U260" s="802"/>
      <c r="V260" s="802"/>
      <c r="W260" s="802"/>
      <c r="X260" s="802"/>
      <c r="Y260" s="802"/>
      <c r="Z260" s="802">
        <f t="shared" ref="Z260:AW260" si="371">SUM(Z256:Z259)</f>
        <v>4738.5</v>
      </c>
      <c r="AA260" s="802">
        <f t="shared" si="371"/>
        <v>2245</v>
      </c>
      <c r="AB260" s="802">
        <f t="shared" si="371"/>
        <v>27233.5</v>
      </c>
      <c r="AC260" s="802">
        <f t="shared" si="371"/>
        <v>26766.5</v>
      </c>
      <c r="AD260" s="802">
        <f t="shared" si="371"/>
        <v>54000</v>
      </c>
      <c r="AE260" s="802">
        <f t="shared" si="371"/>
        <v>54000</v>
      </c>
      <c r="AF260" s="802">
        <f t="shared" si="371"/>
        <v>26766.5</v>
      </c>
      <c r="AG260" s="802">
        <f t="shared" si="371"/>
        <v>26800</v>
      </c>
      <c r="AH260" s="802">
        <f t="shared" si="371"/>
        <v>2245</v>
      </c>
      <c r="AI260" s="802">
        <f t="shared" si="371"/>
        <v>20250</v>
      </c>
      <c r="AJ260" s="802">
        <f t="shared" si="371"/>
        <v>0</v>
      </c>
      <c r="AK260" s="802">
        <f t="shared" si="371"/>
        <v>20250</v>
      </c>
      <c r="AL260" s="802">
        <f t="shared" si="371"/>
        <v>0</v>
      </c>
      <c r="AM260" s="802">
        <f t="shared" si="371"/>
        <v>0</v>
      </c>
      <c r="AN260" s="802">
        <f t="shared" si="371"/>
        <v>0</v>
      </c>
      <c r="AO260" s="802">
        <f t="shared" si="371"/>
        <v>4738.5</v>
      </c>
      <c r="AP260" s="802">
        <f t="shared" si="371"/>
        <v>0</v>
      </c>
      <c r="AQ260" s="802">
        <f t="shared" si="371"/>
        <v>2245</v>
      </c>
      <c r="AR260" s="802">
        <f t="shared" si="371"/>
        <v>0</v>
      </c>
      <c r="AS260" s="802">
        <f t="shared" si="371"/>
        <v>0</v>
      </c>
      <c r="AT260" s="802">
        <f t="shared" si="371"/>
        <v>20250</v>
      </c>
      <c r="AU260" s="802">
        <f t="shared" si="371"/>
        <v>0</v>
      </c>
      <c r="AV260" s="802">
        <f t="shared" si="371"/>
        <v>0</v>
      </c>
      <c r="AW260" s="802">
        <f t="shared" si="371"/>
        <v>20250</v>
      </c>
    </row>
    <row r="261" spans="2:52" s="196" customFormat="1" ht="33">
      <c r="B261" s="770"/>
      <c r="C261" s="851" t="s">
        <v>802</v>
      </c>
      <c r="D261" s="832"/>
      <c r="E261" s="812"/>
      <c r="F261" s="812"/>
      <c r="G261" s="802"/>
      <c r="H261" s="875"/>
      <c r="I261" s="802"/>
      <c r="J261" s="813"/>
      <c r="K261" s="812"/>
      <c r="L261" s="812"/>
      <c r="M261" s="813"/>
      <c r="N261" s="812"/>
      <c r="O261" s="813"/>
      <c r="P261" s="812"/>
      <c r="Q261" s="812"/>
      <c r="R261" s="802"/>
      <c r="S261" s="802"/>
      <c r="T261" s="802"/>
      <c r="U261" s="802"/>
      <c r="V261" s="802"/>
      <c r="W261" s="802"/>
      <c r="X261" s="802"/>
      <c r="Y261" s="802"/>
      <c r="Z261" s="802"/>
      <c r="AA261" s="802"/>
      <c r="AB261" s="802"/>
      <c r="AC261" s="876"/>
      <c r="AD261" s="876"/>
      <c r="AE261" s="833"/>
      <c r="AF261" s="833"/>
      <c r="AG261" s="818"/>
      <c r="AH261" s="833"/>
      <c r="AI261" s="828"/>
      <c r="AJ261" s="828"/>
      <c r="AK261" s="828"/>
      <c r="AL261" s="828"/>
      <c r="AM261" s="828"/>
      <c r="AN261" s="828"/>
      <c r="AO261" s="830"/>
      <c r="AP261" s="830"/>
      <c r="AQ261" s="830"/>
      <c r="AR261" s="830"/>
      <c r="AS261" s="830"/>
      <c r="AT261" s="835"/>
      <c r="AU261" s="835"/>
      <c r="AV261" s="828"/>
      <c r="AW261" s="944"/>
    </row>
    <row r="262" spans="2:52" s="196" customFormat="1" ht="63">
      <c r="B262" s="770"/>
      <c r="C262" s="819" t="s">
        <v>1444</v>
      </c>
      <c r="D262" s="820"/>
      <c r="E262" s="770" t="s">
        <v>1449</v>
      </c>
      <c r="F262" s="770">
        <v>3</v>
      </c>
      <c r="G262" s="821">
        <v>3414</v>
      </c>
      <c r="H262" s="821"/>
      <c r="I262" s="821"/>
      <c r="J262" s="831"/>
      <c r="K262" s="831"/>
      <c r="L262" s="831"/>
      <c r="M262" s="831"/>
      <c r="N262" s="831"/>
      <c r="O262" s="831"/>
      <c r="P262" s="831"/>
      <c r="Q262" s="831"/>
      <c r="R262" s="821">
        <f>G262+I262+K262+L262+N262+P262+Q262</f>
        <v>3414</v>
      </c>
      <c r="S262" s="821">
        <v>1</v>
      </c>
      <c r="T262" s="831"/>
      <c r="U262" s="831"/>
      <c r="V262" s="824">
        <v>0.1</v>
      </c>
      <c r="W262" s="821">
        <f>R262*V262</f>
        <v>341.40000000000003</v>
      </c>
      <c r="X262" s="770"/>
      <c r="Y262" s="824"/>
      <c r="Z262" s="821"/>
      <c r="AA262" s="821">
        <f>AH262</f>
        <v>3286</v>
      </c>
      <c r="AB262" s="821">
        <f>(R262+Z262+U262+W262)*S262+AA262</f>
        <v>7041.4</v>
      </c>
      <c r="AC262" s="825">
        <f>AF262</f>
        <v>0</v>
      </c>
      <c r="AD262" s="825">
        <f>AB262+AC262</f>
        <v>7041.4</v>
      </c>
      <c r="AE262" s="826">
        <f>AB262</f>
        <v>7041.4</v>
      </c>
      <c r="AF262" s="826">
        <f>AE262-AB262</f>
        <v>0</v>
      </c>
      <c r="AG262" s="827">
        <f>6700*S262</f>
        <v>6700</v>
      </c>
      <c r="AH262" s="826">
        <f>AG262-(R262*S262)</f>
        <v>3286</v>
      </c>
      <c r="AI262" s="828">
        <f>G262*S262</f>
        <v>3414</v>
      </c>
      <c r="AJ262" s="828">
        <f>G262*T262</f>
        <v>0</v>
      </c>
      <c r="AK262" s="828">
        <f>R262*S262</f>
        <v>3414</v>
      </c>
      <c r="AL262" s="828">
        <f>R262*T262</f>
        <v>0</v>
      </c>
      <c r="AM262" s="828">
        <f t="shared" ref="AM262:AN266" si="372">AK262-AI262</f>
        <v>0</v>
      </c>
      <c r="AN262" s="828">
        <f t="shared" si="372"/>
        <v>0</v>
      </c>
      <c r="AO262" s="830">
        <f>Z262*S262</f>
        <v>0</v>
      </c>
      <c r="AP262" s="830">
        <f>Z262*T262</f>
        <v>0</v>
      </c>
      <c r="AQ262" s="830">
        <f>AA262</f>
        <v>3286</v>
      </c>
      <c r="AR262" s="830">
        <f>W262*S262</f>
        <v>341.40000000000003</v>
      </c>
      <c r="AS262" s="830">
        <f>W262*T262</f>
        <v>0</v>
      </c>
      <c r="AT262" s="835">
        <f t="shared" si="295"/>
        <v>3414</v>
      </c>
      <c r="AU262" s="835">
        <f t="shared" si="296"/>
        <v>0</v>
      </c>
      <c r="AV262" s="828"/>
      <c r="AW262" s="944">
        <f t="shared" ref="AW262:AW272" si="373">AT262+AU262-AV262</f>
        <v>3414</v>
      </c>
    </row>
    <row r="263" spans="2:52" s="196" customFormat="1" ht="63">
      <c r="B263" s="770"/>
      <c r="C263" s="819" t="s">
        <v>1444</v>
      </c>
      <c r="D263" s="820"/>
      <c r="E263" s="770" t="s">
        <v>1453</v>
      </c>
      <c r="F263" s="770">
        <v>3</v>
      </c>
      <c r="G263" s="821">
        <v>3414</v>
      </c>
      <c r="H263" s="821"/>
      <c r="I263" s="821"/>
      <c r="J263" s="821"/>
      <c r="K263" s="821"/>
      <c r="L263" s="821"/>
      <c r="M263" s="821"/>
      <c r="N263" s="821"/>
      <c r="O263" s="821"/>
      <c r="P263" s="821"/>
      <c r="Q263" s="821"/>
      <c r="R263" s="821">
        <f>G263+I263+K263+L263+N263+P263+Q263</f>
        <v>3414</v>
      </c>
      <c r="S263" s="821">
        <v>1</v>
      </c>
      <c r="T263" s="831"/>
      <c r="U263" s="831"/>
      <c r="V263" s="824">
        <v>0.1</v>
      </c>
      <c r="W263" s="821">
        <f>R263*V263</f>
        <v>341.40000000000003</v>
      </c>
      <c r="X263" s="770"/>
      <c r="Y263" s="824"/>
      <c r="Z263" s="821"/>
      <c r="AA263" s="821">
        <f>AH263</f>
        <v>3286</v>
      </c>
      <c r="AB263" s="821">
        <f>(R263+Z263+U263+W263)*S263+AA263</f>
        <v>7041.4</v>
      </c>
      <c r="AC263" s="825">
        <f>AF263</f>
        <v>0</v>
      </c>
      <c r="AD263" s="825">
        <f>AB263+AC263</f>
        <v>7041.4</v>
      </c>
      <c r="AE263" s="826">
        <f>AB263</f>
        <v>7041.4</v>
      </c>
      <c r="AF263" s="826">
        <f>AE263-AB263</f>
        <v>0</v>
      </c>
      <c r="AG263" s="827">
        <f>6700*S263</f>
        <v>6700</v>
      </c>
      <c r="AH263" s="826">
        <f>AG263-(R263*S263)</f>
        <v>3286</v>
      </c>
      <c r="AI263" s="828">
        <f>G263*S263</f>
        <v>3414</v>
      </c>
      <c r="AJ263" s="828">
        <f>G263*T263</f>
        <v>0</v>
      </c>
      <c r="AK263" s="828">
        <f>R263*S263</f>
        <v>3414</v>
      </c>
      <c r="AL263" s="828">
        <f>R263*T263</f>
        <v>0</v>
      </c>
      <c r="AM263" s="828">
        <f t="shared" si="372"/>
        <v>0</v>
      </c>
      <c r="AN263" s="828">
        <f t="shared" si="372"/>
        <v>0</v>
      </c>
      <c r="AO263" s="830">
        <f>Z263*S263</f>
        <v>0</v>
      </c>
      <c r="AP263" s="830">
        <f>Z263*T263</f>
        <v>0</v>
      </c>
      <c r="AQ263" s="830">
        <f>AA263</f>
        <v>3286</v>
      </c>
      <c r="AR263" s="830">
        <f>W263*S263</f>
        <v>341.40000000000003</v>
      </c>
      <c r="AS263" s="830">
        <f>W263*T263</f>
        <v>0</v>
      </c>
      <c r="AT263" s="835">
        <f t="shared" si="295"/>
        <v>3414</v>
      </c>
      <c r="AU263" s="835">
        <f t="shared" si="296"/>
        <v>0</v>
      </c>
      <c r="AV263" s="828"/>
      <c r="AW263" s="944">
        <f t="shared" si="373"/>
        <v>3414</v>
      </c>
    </row>
    <row r="264" spans="2:52" s="196" customFormat="1" ht="63">
      <c r="B264" s="770"/>
      <c r="C264" s="819" t="s">
        <v>1444</v>
      </c>
      <c r="D264" s="820"/>
      <c r="E264" s="770" t="s">
        <v>1454</v>
      </c>
      <c r="F264" s="770">
        <v>3</v>
      </c>
      <c r="G264" s="821">
        <v>3414</v>
      </c>
      <c r="H264" s="821"/>
      <c r="I264" s="821"/>
      <c r="J264" s="821"/>
      <c r="K264" s="821"/>
      <c r="L264" s="821"/>
      <c r="M264" s="821"/>
      <c r="N264" s="821"/>
      <c r="O264" s="821"/>
      <c r="P264" s="821"/>
      <c r="Q264" s="821"/>
      <c r="R264" s="821">
        <f>G264+I264+K264+L264+N264+P264+Q264</f>
        <v>3414</v>
      </c>
      <c r="S264" s="821">
        <v>1</v>
      </c>
      <c r="T264" s="821"/>
      <c r="U264" s="821"/>
      <c r="V264" s="824">
        <v>0.1</v>
      </c>
      <c r="W264" s="821">
        <f>R264*V264</f>
        <v>341.40000000000003</v>
      </c>
      <c r="X264" s="770"/>
      <c r="Y264" s="824"/>
      <c r="Z264" s="821"/>
      <c r="AA264" s="821">
        <f>AH264</f>
        <v>3286</v>
      </c>
      <c r="AB264" s="821">
        <f>(R264+Z264+U264+W264)*S264+AA264</f>
        <v>7041.4</v>
      </c>
      <c r="AC264" s="825">
        <f>AF264</f>
        <v>0</v>
      </c>
      <c r="AD264" s="825">
        <f>AB264+AC264</f>
        <v>7041.4</v>
      </c>
      <c r="AE264" s="826">
        <f>AB264</f>
        <v>7041.4</v>
      </c>
      <c r="AF264" s="826">
        <f>AE264-AB264</f>
        <v>0</v>
      </c>
      <c r="AG264" s="827">
        <f>6700*S264</f>
        <v>6700</v>
      </c>
      <c r="AH264" s="826">
        <f>AG264-(R264*S264)</f>
        <v>3286</v>
      </c>
      <c r="AI264" s="828">
        <f>G264*S264</f>
        <v>3414</v>
      </c>
      <c r="AJ264" s="828">
        <f>G264*T264</f>
        <v>0</v>
      </c>
      <c r="AK264" s="828">
        <f>R264*S264</f>
        <v>3414</v>
      </c>
      <c r="AL264" s="828">
        <f>R264*T264</f>
        <v>0</v>
      </c>
      <c r="AM264" s="828">
        <f t="shared" si="372"/>
        <v>0</v>
      </c>
      <c r="AN264" s="828">
        <f t="shared" si="372"/>
        <v>0</v>
      </c>
      <c r="AO264" s="830">
        <f>Z264*S264</f>
        <v>0</v>
      </c>
      <c r="AP264" s="830">
        <f>Z264*T264</f>
        <v>0</v>
      </c>
      <c r="AQ264" s="830">
        <f>AA264</f>
        <v>3286</v>
      </c>
      <c r="AR264" s="830">
        <f>W264*S264</f>
        <v>341.40000000000003</v>
      </c>
      <c r="AS264" s="830">
        <f>W264*T264</f>
        <v>0</v>
      </c>
      <c r="AT264" s="835">
        <f t="shared" si="295"/>
        <v>3414</v>
      </c>
      <c r="AU264" s="835">
        <f t="shared" si="296"/>
        <v>0</v>
      </c>
      <c r="AV264" s="828"/>
      <c r="AW264" s="944">
        <f t="shared" si="373"/>
        <v>3414</v>
      </c>
    </row>
    <row r="265" spans="2:52" s="196" customFormat="1" ht="63">
      <c r="B265" s="770"/>
      <c r="C265" s="819" t="s">
        <v>1444</v>
      </c>
      <c r="D265" s="820"/>
      <c r="E265" s="770" t="s">
        <v>1455</v>
      </c>
      <c r="F265" s="770">
        <v>3</v>
      </c>
      <c r="G265" s="821">
        <v>3414</v>
      </c>
      <c r="H265" s="821"/>
      <c r="I265" s="821"/>
      <c r="J265" s="821"/>
      <c r="K265" s="821"/>
      <c r="L265" s="821"/>
      <c r="M265" s="821"/>
      <c r="N265" s="821"/>
      <c r="O265" s="821"/>
      <c r="P265" s="821"/>
      <c r="Q265" s="821"/>
      <c r="R265" s="821">
        <f>G265+I265+K265+L265+N265+P265+Q265</f>
        <v>3414</v>
      </c>
      <c r="S265" s="821">
        <v>1</v>
      </c>
      <c r="T265" s="821"/>
      <c r="U265" s="821"/>
      <c r="V265" s="824">
        <v>0.1</v>
      </c>
      <c r="W265" s="821">
        <f>R265*V265</f>
        <v>341.40000000000003</v>
      </c>
      <c r="X265" s="770"/>
      <c r="Y265" s="824"/>
      <c r="Z265" s="821"/>
      <c r="AA265" s="821">
        <f>AH265</f>
        <v>3286</v>
      </c>
      <c r="AB265" s="821">
        <f>(R265+Z265+U265+W265)*S265+AA265</f>
        <v>7041.4</v>
      </c>
      <c r="AC265" s="825">
        <f>AF265</f>
        <v>0</v>
      </c>
      <c r="AD265" s="825">
        <f>AB265+AC265</f>
        <v>7041.4</v>
      </c>
      <c r="AE265" s="826">
        <f>AB265</f>
        <v>7041.4</v>
      </c>
      <c r="AF265" s="826">
        <f>AE265-AB265</f>
        <v>0</v>
      </c>
      <c r="AG265" s="827">
        <f>6700*S265</f>
        <v>6700</v>
      </c>
      <c r="AH265" s="826">
        <f>AG265-(R265*S265)</f>
        <v>3286</v>
      </c>
      <c r="AI265" s="828">
        <f>G265*S265</f>
        <v>3414</v>
      </c>
      <c r="AJ265" s="828">
        <f>G265*T265</f>
        <v>0</v>
      </c>
      <c r="AK265" s="828">
        <f>R265*S265</f>
        <v>3414</v>
      </c>
      <c r="AL265" s="828">
        <f>R265*T265</f>
        <v>0</v>
      </c>
      <c r="AM265" s="828">
        <f t="shared" si="372"/>
        <v>0</v>
      </c>
      <c r="AN265" s="828">
        <f t="shared" si="372"/>
        <v>0</v>
      </c>
      <c r="AO265" s="830">
        <f>Z265*S265</f>
        <v>0</v>
      </c>
      <c r="AP265" s="830">
        <f>Z265*T265</f>
        <v>0</v>
      </c>
      <c r="AQ265" s="830">
        <f>AA265</f>
        <v>3286</v>
      </c>
      <c r="AR265" s="830">
        <f>W265*S265</f>
        <v>341.40000000000003</v>
      </c>
      <c r="AS265" s="830">
        <f>W265*T265</f>
        <v>0</v>
      </c>
      <c r="AT265" s="835">
        <f t="shared" si="295"/>
        <v>3414</v>
      </c>
      <c r="AU265" s="835">
        <f t="shared" si="296"/>
        <v>0</v>
      </c>
      <c r="AV265" s="828"/>
      <c r="AW265" s="944">
        <f t="shared" si="373"/>
        <v>3414</v>
      </c>
    </row>
    <row r="266" spans="2:52" s="196" customFormat="1" ht="63">
      <c r="B266" s="770"/>
      <c r="C266" s="819" t="s">
        <v>1444</v>
      </c>
      <c r="D266" s="820"/>
      <c r="E266" s="770" t="s">
        <v>1458</v>
      </c>
      <c r="F266" s="770">
        <v>3</v>
      </c>
      <c r="G266" s="821">
        <v>3414</v>
      </c>
      <c r="H266" s="821"/>
      <c r="I266" s="821"/>
      <c r="J266" s="821"/>
      <c r="K266" s="821"/>
      <c r="L266" s="821"/>
      <c r="M266" s="821"/>
      <c r="N266" s="821"/>
      <c r="O266" s="821"/>
      <c r="P266" s="821"/>
      <c r="Q266" s="821"/>
      <c r="R266" s="821">
        <f>G266+I266+K266+L266+N266+P266+Q266</f>
        <v>3414</v>
      </c>
      <c r="S266" s="821">
        <v>1</v>
      </c>
      <c r="T266" s="821"/>
      <c r="U266" s="821"/>
      <c r="V266" s="824">
        <v>0.1</v>
      </c>
      <c r="W266" s="821">
        <f>R266*V266</f>
        <v>341.40000000000003</v>
      </c>
      <c r="X266" s="770"/>
      <c r="Y266" s="824"/>
      <c r="Z266" s="821"/>
      <c r="AA266" s="821">
        <f>AH266</f>
        <v>3286</v>
      </c>
      <c r="AB266" s="821">
        <f>(R266+Z266+U266+W266)*S266+AA266</f>
        <v>7041.4</v>
      </c>
      <c r="AC266" s="825">
        <f>AF266</f>
        <v>0</v>
      </c>
      <c r="AD266" s="825">
        <f>AB266+AC266</f>
        <v>7041.4</v>
      </c>
      <c r="AE266" s="826">
        <f>AB266</f>
        <v>7041.4</v>
      </c>
      <c r="AF266" s="826">
        <f>AE266-AB266</f>
        <v>0</v>
      </c>
      <c r="AG266" s="827">
        <f>6700*S266</f>
        <v>6700</v>
      </c>
      <c r="AH266" s="826">
        <f>AG266-(R266*S266)</f>
        <v>3286</v>
      </c>
      <c r="AI266" s="828">
        <f>G266*S266</f>
        <v>3414</v>
      </c>
      <c r="AJ266" s="828">
        <f>G266*T266</f>
        <v>0</v>
      </c>
      <c r="AK266" s="828">
        <f>R266*S266</f>
        <v>3414</v>
      </c>
      <c r="AL266" s="828">
        <f>R266*T266</f>
        <v>0</v>
      </c>
      <c r="AM266" s="828">
        <f t="shared" si="372"/>
        <v>0</v>
      </c>
      <c r="AN266" s="828">
        <f t="shared" si="372"/>
        <v>0</v>
      </c>
      <c r="AO266" s="830">
        <f>Z266*S266</f>
        <v>0</v>
      </c>
      <c r="AP266" s="830">
        <f>Z266*T266</f>
        <v>0</v>
      </c>
      <c r="AQ266" s="830">
        <f>AA266</f>
        <v>3286</v>
      </c>
      <c r="AR266" s="830">
        <f>W266*S266</f>
        <v>341.40000000000003</v>
      </c>
      <c r="AS266" s="830">
        <f>W266*T266</f>
        <v>0</v>
      </c>
      <c r="AT266" s="835">
        <f t="shared" si="295"/>
        <v>3414</v>
      </c>
      <c r="AU266" s="835">
        <f t="shared" si="296"/>
        <v>0</v>
      </c>
      <c r="AV266" s="828"/>
      <c r="AW266" s="944">
        <f t="shared" si="373"/>
        <v>3414</v>
      </c>
    </row>
    <row r="267" spans="2:52" s="196" customFormat="1" ht="31.5">
      <c r="B267" s="770"/>
      <c r="C267" s="799" t="s">
        <v>504</v>
      </c>
      <c r="D267" s="832"/>
      <c r="E267" s="812"/>
      <c r="F267" s="812"/>
      <c r="G267" s="802">
        <f>SUM(G262:G266)</f>
        <v>17070</v>
      </c>
      <c r="H267" s="813"/>
      <c r="I267" s="812"/>
      <c r="J267" s="813"/>
      <c r="K267" s="812"/>
      <c r="L267" s="812"/>
      <c r="M267" s="813"/>
      <c r="N267" s="812"/>
      <c r="O267" s="813"/>
      <c r="P267" s="812"/>
      <c r="Q267" s="812"/>
      <c r="R267" s="802">
        <f>SUM(R262:R266)</f>
        <v>17070</v>
      </c>
      <c r="S267" s="802">
        <f>SUM(S262:S266)</f>
        <v>5</v>
      </c>
      <c r="T267" s="802">
        <f>SUM(T262:T266)</f>
        <v>0</v>
      </c>
      <c r="U267" s="803"/>
      <c r="V267" s="802"/>
      <c r="W267" s="802">
        <f>SUM(W262:W266)</f>
        <v>1707.0000000000002</v>
      </c>
      <c r="X267" s="802"/>
      <c r="Y267" s="802"/>
      <c r="Z267" s="802"/>
      <c r="AA267" s="802">
        <f t="shared" ref="AA267:AW267" si="374">SUM(AA262:AA266)</f>
        <v>16430</v>
      </c>
      <c r="AB267" s="802">
        <f t="shared" si="374"/>
        <v>35207</v>
      </c>
      <c r="AC267" s="802">
        <f t="shared" si="374"/>
        <v>0</v>
      </c>
      <c r="AD267" s="802">
        <f t="shared" si="374"/>
        <v>35207</v>
      </c>
      <c r="AE267" s="802">
        <f t="shared" si="374"/>
        <v>35207</v>
      </c>
      <c r="AF267" s="802">
        <f t="shared" si="374"/>
        <v>0</v>
      </c>
      <c r="AG267" s="802">
        <f t="shared" si="374"/>
        <v>33500</v>
      </c>
      <c r="AH267" s="802">
        <f t="shared" si="374"/>
        <v>16430</v>
      </c>
      <c r="AI267" s="802">
        <f t="shared" si="374"/>
        <v>17070</v>
      </c>
      <c r="AJ267" s="802">
        <f t="shared" si="374"/>
        <v>0</v>
      </c>
      <c r="AK267" s="802">
        <f t="shared" si="374"/>
        <v>17070</v>
      </c>
      <c r="AL267" s="802">
        <f t="shared" si="374"/>
        <v>0</v>
      </c>
      <c r="AM267" s="802">
        <f t="shared" si="374"/>
        <v>0</v>
      </c>
      <c r="AN267" s="802">
        <f t="shared" si="374"/>
        <v>0</v>
      </c>
      <c r="AO267" s="802">
        <f t="shared" si="374"/>
        <v>0</v>
      </c>
      <c r="AP267" s="802">
        <f t="shared" si="374"/>
        <v>0</v>
      </c>
      <c r="AQ267" s="802">
        <f t="shared" si="374"/>
        <v>16430</v>
      </c>
      <c r="AR267" s="802">
        <f t="shared" si="374"/>
        <v>1707.0000000000002</v>
      </c>
      <c r="AS267" s="802">
        <f t="shared" si="374"/>
        <v>0</v>
      </c>
      <c r="AT267" s="802">
        <f t="shared" si="374"/>
        <v>17070</v>
      </c>
      <c r="AU267" s="802">
        <f t="shared" si="374"/>
        <v>0</v>
      </c>
      <c r="AV267" s="802">
        <f t="shared" si="374"/>
        <v>0</v>
      </c>
      <c r="AW267" s="802">
        <f t="shared" si="374"/>
        <v>17070</v>
      </c>
    </row>
    <row r="268" spans="2:52" s="196" customFormat="1" ht="33">
      <c r="B268" s="770"/>
      <c r="C268" s="810" t="s">
        <v>1407</v>
      </c>
      <c r="D268" s="811"/>
      <c r="E268" s="812"/>
      <c r="F268" s="812"/>
      <c r="G268" s="812"/>
      <c r="H268" s="813"/>
      <c r="I268" s="812"/>
      <c r="J268" s="813"/>
      <c r="K268" s="812"/>
      <c r="L268" s="812"/>
      <c r="M268" s="813"/>
      <c r="N268" s="812"/>
      <c r="O268" s="813"/>
      <c r="P268" s="812"/>
      <c r="Q268" s="812"/>
      <c r="R268" s="812"/>
      <c r="S268" s="812"/>
      <c r="T268" s="812"/>
      <c r="U268" s="812"/>
      <c r="V268" s="812"/>
      <c r="W268" s="812"/>
      <c r="X268" s="812"/>
      <c r="Y268" s="812"/>
      <c r="Z268" s="812"/>
      <c r="AA268" s="812"/>
      <c r="AB268" s="812"/>
      <c r="AC268" s="834"/>
      <c r="AD268" s="834"/>
      <c r="AE268" s="815"/>
      <c r="AF268" s="815"/>
      <c r="AG268" s="816"/>
      <c r="AH268" s="815"/>
      <c r="AI268" s="828"/>
      <c r="AJ268" s="828"/>
      <c r="AK268" s="828"/>
      <c r="AL268" s="828"/>
      <c r="AM268" s="828"/>
      <c r="AN268" s="828"/>
      <c r="AO268" s="830"/>
      <c r="AP268" s="830"/>
      <c r="AQ268" s="830"/>
      <c r="AR268" s="830"/>
      <c r="AS268" s="830"/>
      <c r="AT268" s="835"/>
      <c r="AU268" s="835"/>
      <c r="AV268" s="828"/>
      <c r="AW268" s="944"/>
    </row>
    <row r="269" spans="2:52" s="196" customFormat="1" ht="63">
      <c r="B269" s="770"/>
      <c r="C269" s="819" t="s">
        <v>1471</v>
      </c>
      <c r="D269" s="820"/>
      <c r="E269" s="770" t="s">
        <v>1472</v>
      </c>
      <c r="F269" s="770">
        <v>4</v>
      </c>
      <c r="G269" s="821">
        <v>3674</v>
      </c>
      <c r="H269" s="821"/>
      <c r="I269" s="821"/>
      <c r="J269" s="821"/>
      <c r="K269" s="821"/>
      <c r="L269" s="821"/>
      <c r="M269" s="821"/>
      <c r="N269" s="821"/>
      <c r="O269" s="821"/>
      <c r="P269" s="821"/>
      <c r="Q269" s="821"/>
      <c r="R269" s="821">
        <f>G269+I269+K269+L269+N269+P269+Q269</f>
        <v>3674</v>
      </c>
      <c r="S269" s="821">
        <v>1</v>
      </c>
      <c r="T269" s="821"/>
      <c r="U269" s="821"/>
      <c r="V269" s="824">
        <v>0.1</v>
      </c>
      <c r="W269" s="821">
        <f>R269*V269</f>
        <v>367.40000000000003</v>
      </c>
      <c r="X269" s="770"/>
      <c r="Y269" s="824"/>
      <c r="Z269" s="821"/>
      <c r="AA269" s="821">
        <f>AH269</f>
        <v>3026</v>
      </c>
      <c r="AB269" s="821">
        <f>(R269+Z269+U269+W269)*S269+AA269</f>
        <v>7067.4</v>
      </c>
      <c r="AC269" s="825">
        <f>AF269</f>
        <v>0</v>
      </c>
      <c r="AD269" s="825">
        <f>AB269+AC269</f>
        <v>7067.4</v>
      </c>
      <c r="AE269" s="826">
        <f>AB269</f>
        <v>7067.4</v>
      </c>
      <c r="AF269" s="826">
        <f>AE269-AB269</f>
        <v>0</v>
      </c>
      <c r="AG269" s="827">
        <f>6700*S269</f>
        <v>6700</v>
      </c>
      <c r="AH269" s="826">
        <f>AG269-(R269*S269)</f>
        <v>3026</v>
      </c>
      <c r="AI269" s="828">
        <f>G269*S269</f>
        <v>3674</v>
      </c>
      <c r="AJ269" s="828">
        <f>G269*T269</f>
        <v>0</v>
      </c>
      <c r="AK269" s="828">
        <f>R269*S269</f>
        <v>3674</v>
      </c>
      <c r="AL269" s="828">
        <f>R269*T269</f>
        <v>0</v>
      </c>
      <c r="AM269" s="828">
        <f t="shared" ref="AM269:AN272" si="375">AK269-AI269</f>
        <v>0</v>
      </c>
      <c r="AN269" s="828">
        <f t="shared" si="375"/>
        <v>0</v>
      </c>
      <c r="AO269" s="830">
        <f>Z269*S269</f>
        <v>0</v>
      </c>
      <c r="AP269" s="830">
        <f>Z269*T269</f>
        <v>0</v>
      </c>
      <c r="AQ269" s="830">
        <f>AA269</f>
        <v>3026</v>
      </c>
      <c r="AR269" s="830">
        <f>W269*S269</f>
        <v>367.40000000000003</v>
      </c>
      <c r="AS269" s="830">
        <f>W269*T269</f>
        <v>0</v>
      </c>
      <c r="AT269" s="835">
        <f t="shared" ref="AT269:AT329" si="376">AK269</f>
        <v>3674</v>
      </c>
      <c r="AU269" s="835">
        <f t="shared" ref="AU269:AU329" si="377">AL269</f>
        <v>0</v>
      </c>
      <c r="AV269" s="828"/>
      <c r="AW269" s="944">
        <f t="shared" si="373"/>
        <v>3674</v>
      </c>
    </row>
    <row r="270" spans="2:52" s="196" customFormat="1" ht="63">
      <c r="B270" s="770"/>
      <c r="C270" s="819" t="s">
        <v>1471</v>
      </c>
      <c r="D270" s="820"/>
      <c r="E270" s="770" t="s">
        <v>596</v>
      </c>
      <c r="F270" s="770">
        <v>4</v>
      </c>
      <c r="G270" s="821">
        <v>3674</v>
      </c>
      <c r="H270" s="821"/>
      <c r="I270" s="821"/>
      <c r="J270" s="821"/>
      <c r="K270" s="821"/>
      <c r="L270" s="821"/>
      <c r="M270" s="821"/>
      <c r="N270" s="821"/>
      <c r="O270" s="821"/>
      <c r="P270" s="821"/>
      <c r="Q270" s="821"/>
      <c r="R270" s="821">
        <f>G270+I270+K270+L270+N270+P270+Q270</f>
        <v>3674</v>
      </c>
      <c r="S270" s="821">
        <v>1</v>
      </c>
      <c r="T270" s="821"/>
      <c r="U270" s="821"/>
      <c r="V270" s="824">
        <v>0.1</v>
      </c>
      <c r="W270" s="821">
        <f>R270*V270</f>
        <v>367.40000000000003</v>
      </c>
      <c r="X270" s="770"/>
      <c r="Y270" s="824"/>
      <c r="Z270" s="821"/>
      <c r="AA270" s="821">
        <f>AH270</f>
        <v>3026</v>
      </c>
      <c r="AB270" s="821">
        <f>(R270+Z270+U270+W270)*S270+AA270</f>
        <v>7067.4</v>
      </c>
      <c r="AC270" s="825">
        <f>AF270</f>
        <v>0</v>
      </c>
      <c r="AD270" s="825">
        <f>AB270+AC270</f>
        <v>7067.4</v>
      </c>
      <c r="AE270" s="826">
        <f>AB270</f>
        <v>7067.4</v>
      </c>
      <c r="AF270" s="826">
        <f>AE270-AB270</f>
        <v>0</v>
      </c>
      <c r="AG270" s="827">
        <f>6700*S270</f>
        <v>6700</v>
      </c>
      <c r="AH270" s="826">
        <f>AG270-(R270*S270)</f>
        <v>3026</v>
      </c>
      <c r="AI270" s="828">
        <f>G270*S270</f>
        <v>3674</v>
      </c>
      <c r="AJ270" s="828">
        <f>G270*T270</f>
        <v>0</v>
      </c>
      <c r="AK270" s="828">
        <f>R270*S270</f>
        <v>3674</v>
      </c>
      <c r="AL270" s="828">
        <f>R270*T270</f>
        <v>0</v>
      </c>
      <c r="AM270" s="828">
        <f t="shared" si="375"/>
        <v>0</v>
      </c>
      <c r="AN270" s="828">
        <f t="shared" si="375"/>
        <v>0</v>
      </c>
      <c r="AO270" s="830">
        <f>Z270*S270</f>
        <v>0</v>
      </c>
      <c r="AP270" s="830">
        <f>Z270*T270</f>
        <v>0</v>
      </c>
      <c r="AQ270" s="830">
        <f>AA270</f>
        <v>3026</v>
      </c>
      <c r="AR270" s="830">
        <f>W270*S270</f>
        <v>367.40000000000003</v>
      </c>
      <c r="AS270" s="830">
        <f>W270*T270</f>
        <v>0</v>
      </c>
      <c r="AT270" s="835">
        <f t="shared" si="376"/>
        <v>3674</v>
      </c>
      <c r="AU270" s="835">
        <f t="shared" si="377"/>
        <v>0</v>
      </c>
      <c r="AV270" s="828"/>
      <c r="AW270" s="944">
        <f t="shared" si="373"/>
        <v>3674</v>
      </c>
    </row>
    <row r="271" spans="2:52" s="196" customFormat="1" ht="63">
      <c r="B271" s="770"/>
      <c r="C271" s="819" t="s">
        <v>1471</v>
      </c>
      <c r="D271" s="820"/>
      <c r="E271" s="770" t="s">
        <v>597</v>
      </c>
      <c r="F271" s="770">
        <v>4</v>
      </c>
      <c r="G271" s="821">
        <v>3674</v>
      </c>
      <c r="H271" s="821"/>
      <c r="I271" s="821"/>
      <c r="J271" s="821"/>
      <c r="K271" s="821"/>
      <c r="L271" s="821"/>
      <c r="M271" s="821"/>
      <c r="N271" s="821"/>
      <c r="O271" s="821"/>
      <c r="P271" s="821"/>
      <c r="Q271" s="821"/>
      <c r="R271" s="821">
        <f>G271+I271+K271+L271+N271+P271+Q271</f>
        <v>3674</v>
      </c>
      <c r="S271" s="821">
        <v>1</v>
      </c>
      <c r="T271" s="821"/>
      <c r="U271" s="821"/>
      <c r="V271" s="824">
        <v>0.1</v>
      </c>
      <c r="W271" s="821">
        <f>R271*V271</f>
        <v>367.40000000000003</v>
      </c>
      <c r="X271" s="770"/>
      <c r="Y271" s="824"/>
      <c r="Z271" s="821"/>
      <c r="AA271" s="821">
        <f>AH271</f>
        <v>3026</v>
      </c>
      <c r="AB271" s="821">
        <f>(R271+Z271+U271+W271)*S271+AA271</f>
        <v>7067.4</v>
      </c>
      <c r="AC271" s="825">
        <f>AF271</f>
        <v>0</v>
      </c>
      <c r="AD271" s="825">
        <f>AB271+AC271</f>
        <v>7067.4</v>
      </c>
      <c r="AE271" s="826">
        <f>AB271</f>
        <v>7067.4</v>
      </c>
      <c r="AF271" s="826">
        <f>AE271-AB271</f>
        <v>0</v>
      </c>
      <c r="AG271" s="827">
        <f>6700*S271</f>
        <v>6700</v>
      </c>
      <c r="AH271" s="826">
        <f>AG271-(R271*S271)</f>
        <v>3026</v>
      </c>
      <c r="AI271" s="828">
        <f>G271*S271</f>
        <v>3674</v>
      </c>
      <c r="AJ271" s="828">
        <f>G271*T271</f>
        <v>0</v>
      </c>
      <c r="AK271" s="828">
        <f>R271*S271</f>
        <v>3674</v>
      </c>
      <c r="AL271" s="828">
        <f>R271*T271</f>
        <v>0</v>
      </c>
      <c r="AM271" s="828">
        <f t="shared" si="375"/>
        <v>0</v>
      </c>
      <c r="AN271" s="828">
        <f t="shared" si="375"/>
        <v>0</v>
      </c>
      <c r="AO271" s="830">
        <f>Z271*S271</f>
        <v>0</v>
      </c>
      <c r="AP271" s="830">
        <f>Z271*T271</f>
        <v>0</v>
      </c>
      <c r="AQ271" s="830">
        <f>AA271</f>
        <v>3026</v>
      </c>
      <c r="AR271" s="830">
        <f>W271*S271</f>
        <v>367.40000000000003</v>
      </c>
      <c r="AS271" s="830">
        <f>W271*T271</f>
        <v>0</v>
      </c>
      <c r="AT271" s="835">
        <f t="shared" si="376"/>
        <v>3674</v>
      </c>
      <c r="AU271" s="835">
        <f t="shared" si="377"/>
        <v>0</v>
      </c>
      <c r="AV271" s="828"/>
      <c r="AW271" s="944">
        <f t="shared" si="373"/>
        <v>3674</v>
      </c>
    </row>
    <row r="272" spans="2:52" s="196" customFormat="1" ht="63">
      <c r="B272" s="770"/>
      <c r="C272" s="819" t="s">
        <v>1471</v>
      </c>
      <c r="D272" s="820"/>
      <c r="E272" s="770" t="s">
        <v>1473</v>
      </c>
      <c r="F272" s="770">
        <v>4</v>
      </c>
      <c r="G272" s="821">
        <v>3674</v>
      </c>
      <c r="H272" s="821"/>
      <c r="I272" s="821"/>
      <c r="J272" s="821"/>
      <c r="K272" s="821"/>
      <c r="L272" s="821"/>
      <c r="M272" s="821"/>
      <c r="N272" s="821"/>
      <c r="O272" s="821"/>
      <c r="P272" s="821"/>
      <c r="Q272" s="821"/>
      <c r="R272" s="821">
        <f>G272+I272+K272+L272+N272+P272+Q272</f>
        <v>3674</v>
      </c>
      <c r="S272" s="821">
        <v>1</v>
      </c>
      <c r="T272" s="821"/>
      <c r="U272" s="821"/>
      <c r="V272" s="824">
        <v>0.1</v>
      </c>
      <c r="W272" s="821">
        <f>R272*V272</f>
        <v>367.40000000000003</v>
      </c>
      <c r="X272" s="770"/>
      <c r="Y272" s="824"/>
      <c r="Z272" s="821"/>
      <c r="AA272" s="821">
        <f>AH272</f>
        <v>3026</v>
      </c>
      <c r="AB272" s="821">
        <f>(R272+Z272+U272+W272)*S272+AA272</f>
        <v>7067.4</v>
      </c>
      <c r="AC272" s="825">
        <f>AF272</f>
        <v>0</v>
      </c>
      <c r="AD272" s="825">
        <f>AB272+AC272</f>
        <v>7067.4</v>
      </c>
      <c r="AE272" s="826">
        <f>AB272</f>
        <v>7067.4</v>
      </c>
      <c r="AF272" s="826">
        <f>AE272-AB272</f>
        <v>0</v>
      </c>
      <c r="AG272" s="827">
        <f>6700*S272</f>
        <v>6700</v>
      </c>
      <c r="AH272" s="826">
        <f>AG272-(R272*S272)</f>
        <v>3026</v>
      </c>
      <c r="AI272" s="828">
        <f>G272*S272</f>
        <v>3674</v>
      </c>
      <c r="AJ272" s="828">
        <f>G272*T272</f>
        <v>0</v>
      </c>
      <c r="AK272" s="828">
        <f>R272*S272</f>
        <v>3674</v>
      </c>
      <c r="AL272" s="828">
        <f>R272*T272</f>
        <v>0</v>
      </c>
      <c r="AM272" s="828">
        <f t="shared" si="375"/>
        <v>0</v>
      </c>
      <c r="AN272" s="828">
        <f t="shared" si="375"/>
        <v>0</v>
      </c>
      <c r="AO272" s="830">
        <f>Z272*S272</f>
        <v>0</v>
      </c>
      <c r="AP272" s="830">
        <f>Z272*T272</f>
        <v>0</v>
      </c>
      <c r="AQ272" s="830">
        <f>AA272</f>
        <v>3026</v>
      </c>
      <c r="AR272" s="830">
        <f>W272*S272</f>
        <v>367.40000000000003</v>
      </c>
      <c r="AS272" s="830">
        <f>W272*T272</f>
        <v>0</v>
      </c>
      <c r="AT272" s="835">
        <f t="shared" si="376"/>
        <v>3674</v>
      </c>
      <c r="AU272" s="835">
        <f t="shared" si="377"/>
        <v>0</v>
      </c>
      <c r="AV272" s="828"/>
      <c r="AW272" s="944">
        <f t="shared" si="373"/>
        <v>3674</v>
      </c>
    </row>
    <row r="273" spans="2:55" s="196" customFormat="1" ht="31.5">
      <c r="B273" s="770"/>
      <c r="C273" s="799" t="s">
        <v>504</v>
      </c>
      <c r="D273" s="832"/>
      <c r="E273" s="812"/>
      <c r="F273" s="812"/>
      <c r="G273" s="802">
        <f>SUM(G269:G272)</f>
        <v>14696</v>
      </c>
      <c r="H273" s="813"/>
      <c r="I273" s="812"/>
      <c r="J273" s="813"/>
      <c r="K273" s="812"/>
      <c r="L273" s="812"/>
      <c r="M273" s="813"/>
      <c r="N273" s="812"/>
      <c r="O273" s="813"/>
      <c r="P273" s="812"/>
      <c r="Q273" s="812"/>
      <c r="R273" s="802">
        <f>SUM(R269:R272)</f>
        <v>14696</v>
      </c>
      <c r="S273" s="802">
        <f>SUM(S269:S272)</f>
        <v>4</v>
      </c>
      <c r="T273" s="802">
        <f>SUM(T269:T272)</f>
        <v>0</v>
      </c>
      <c r="U273" s="802"/>
      <c r="V273" s="802"/>
      <c r="W273" s="802">
        <f>SUM(W269:W272)</f>
        <v>1469.6000000000001</v>
      </c>
      <c r="X273" s="802"/>
      <c r="Y273" s="802"/>
      <c r="Z273" s="802"/>
      <c r="AA273" s="802">
        <f>SUM(AA269:AA272)</f>
        <v>12104</v>
      </c>
      <c r="AB273" s="802">
        <f>SUM(AB269:AB272)</f>
        <v>28269.599999999999</v>
      </c>
      <c r="AC273" s="802">
        <f t="shared" ref="AC273:AW273" si="378">SUM(AC269:AC272)</f>
        <v>0</v>
      </c>
      <c r="AD273" s="802">
        <f t="shared" si="378"/>
        <v>28269.599999999999</v>
      </c>
      <c r="AE273" s="802">
        <f t="shared" si="378"/>
        <v>28269.599999999999</v>
      </c>
      <c r="AF273" s="802">
        <f t="shared" si="378"/>
        <v>0</v>
      </c>
      <c r="AG273" s="802">
        <f t="shared" si="378"/>
        <v>26800</v>
      </c>
      <c r="AH273" s="802">
        <f t="shared" si="378"/>
        <v>12104</v>
      </c>
      <c r="AI273" s="802">
        <f t="shared" si="378"/>
        <v>14696</v>
      </c>
      <c r="AJ273" s="802">
        <f t="shared" si="378"/>
        <v>0</v>
      </c>
      <c r="AK273" s="802">
        <f t="shared" si="378"/>
        <v>14696</v>
      </c>
      <c r="AL273" s="802">
        <f t="shared" si="378"/>
        <v>0</v>
      </c>
      <c r="AM273" s="802">
        <f t="shared" si="378"/>
        <v>0</v>
      </c>
      <c r="AN273" s="802">
        <f t="shared" si="378"/>
        <v>0</v>
      </c>
      <c r="AO273" s="802">
        <f t="shared" si="378"/>
        <v>0</v>
      </c>
      <c r="AP273" s="802">
        <f t="shared" si="378"/>
        <v>0</v>
      </c>
      <c r="AQ273" s="802">
        <f t="shared" si="378"/>
        <v>12104</v>
      </c>
      <c r="AR273" s="802">
        <f t="shared" si="378"/>
        <v>1469.6000000000001</v>
      </c>
      <c r="AS273" s="802">
        <f t="shared" si="378"/>
        <v>0</v>
      </c>
      <c r="AT273" s="802">
        <f t="shared" si="378"/>
        <v>14696</v>
      </c>
      <c r="AU273" s="802">
        <f t="shared" si="378"/>
        <v>0</v>
      </c>
      <c r="AV273" s="802">
        <f t="shared" si="378"/>
        <v>0</v>
      </c>
      <c r="AW273" s="802">
        <f t="shared" si="378"/>
        <v>14696</v>
      </c>
    </row>
    <row r="274" spans="2:55" s="196" customFormat="1" ht="31.5">
      <c r="B274" s="770"/>
      <c r="C274" s="799" t="s">
        <v>1547</v>
      </c>
      <c r="D274" s="832"/>
      <c r="E274" s="812"/>
      <c r="F274" s="812"/>
      <c r="G274" s="804">
        <f>G245+G254+G260+G267+G273</f>
        <v>156510</v>
      </c>
      <c r="H274" s="804"/>
      <c r="I274" s="804">
        <f t="shared" ref="I274:AB274" si="379">I245+I254+I260+I267+I273</f>
        <v>2250.75</v>
      </c>
      <c r="J274" s="804"/>
      <c r="K274" s="804">
        <f t="shared" si="379"/>
        <v>19050</v>
      </c>
      <c r="L274" s="804"/>
      <c r="M274" s="804"/>
      <c r="N274" s="804"/>
      <c r="O274" s="804"/>
      <c r="P274" s="804"/>
      <c r="Q274" s="804"/>
      <c r="R274" s="804">
        <f t="shared" si="379"/>
        <v>177810.75</v>
      </c>
      <c r="S274" s="802">
        <f t="shared" si="379"/>
        <v>27.5</v>
      </c>
      <c r="T274" s="802">
        <f t="shared" si="379"/>
        <v>1</v>
      </c>
      <c r="U274" s="804">
        <f t="shared" si="379"/>
        <v>0</v>
      </c>
      <c r="V274" s="804">
        <f t="shared" si="379"/>
        <v>0</v>
      </c>
      <c r="W274" s="804">
        <f t="shared" si="379"/>
        <v>3176.6000000000004</v>
      </c>
      <c r="X274" s="804">
        <f t="shared" si="379"/>
        <v>0</v>
      </c>
      <c r="Y274" s="804">
        <f t="shared" si="379"/>
        <v>0</v>
      </c>
      <c r="Z274" s="804">
        <f t="shared" si="379"/>
        <v>28019.55</v>
      </c>
      <c r="AA274" s="804">
        <f t="shared" si="379"/>
        <v>31746.5</v>
      </c>
      <c r="AB274" s="804">
        <f t="shared" si="379"/>
        <v>217933.43124999999</v>
      </c>
      <c r="AC274" s="804">
        <f t="shared" ref="AC274:AW274" si="380">AC245+AC254+AC260+AC267+AC273</f>
        <v>164043.16875000001</v>
      </c>
      <c r="AD274" s="804">
        <f t="shared" si="380"/>
        <v>381976.6</v>
      </c>
      <c r="AE274" s="804">
        <f t="shared" si="380"/>
        <v>381976.6</v>
      </c>
      <c r="AF274" s="804">
        <f t="shared" si="380"/>
        <v>164043.16875000001</v>
      </c>
      <c r="AG274" s="804">
        <f t="shared" si="380"/>
        <v>190950</v>
      </c>
      <c r="AH274" s="804">
        <f t="shared" si="380"/>
        <v>54518.181250000001</v>
      </c>
      <c r="AI274" s="804">
        <f t="shared" si="380"/>
        <v>133525.5</v>
      </c>
      <c r="AJ274" s="804">
        <f t="shared" si="380"/>
        <v>6567</v>
      </c>
      <c r="AK274" s="804">
        <f t="shared" si="380"/>
        <v>149080.125</v>
      </c>
      <c r="AL274" s="804">
        <f t="shared" si="380"/>
        <v>8208.75</v>
      </c>
      <c r="AM274" s="804">
        <f t="shared" si="380"/>
        <v>15554.625</v>
      </c>
      <c r="AN274" s="804">
        <f t="shared" si="380"/>
        <v>1641.75</v>
      </c>
      <c r="AO274" s="804">
        <f t="shared" si="380"/>
        <v>24681.8</v>
      </c>
      <c r="AP274" s="804">
        <f t="shared" si="380"/>
        <v>1039.65625</v>
      </c>
      <c r="AQ274" s="804">
        <f t="shared" si="380"/>
        <v>31746.5</v>
      </c>
      <c r="AR274" s="804">
        <f t="shared" si="380"/>
        <v>3176.6000000000004</v>
      </c>
      <c r="AS274" s="804">
        <f t="shared" si="380"/>
        <v>0</v>
      </c>
      <c r="AT274" s="804">
        <f t="shared" si="380"/>
        <v>149080.125</v>
      </c>
      <c r="AU274" s="804">
        <f t="shared" si="380"/>
        <v>8208.75</v>
      </c>
      <c r="AV274" s="804">
        <f t="shared" si="380"/>
        <v>0</v>
      </c>
      <c r="AW274" s="804">
        <f t="shared" si="380"/>
        <v>157288.875</v>
      </c>
    </row>
    <row r="275" spans="2:55" s="196" customFormat="1" ht="61.5">
      <c r="B275" s="770"/>
      <c r="C275" s="810" t="s">
        <v>555</v>
      </c>
      <c r="D275" s="811"/>
      <c r="E275" s="812"/>
      <c r="F275" s="812"/>
      <c r="G275" s="812"/>
      <c r="H275" s="813"/>
      <c r="I275" s="812"/>
      <c r="J275" s="813"/>
      <c r="K275" s="812"/>
      <c r="L275" s="812"/>
      <c r="M275" s="813"/>
      <c r="N275" s="812"/>
      <c r="O275" s="813"/>
      <c r="P275" s="812"/>
      <c r="Q275" s="812"/>
      <c r="R275" s="812"/>
      <c r="S275" s="812"/>
      <c r="T275" s="812"/>
      <c r="U275" s="812"/>
      <c r="V275" s="812"/>
      <c r="W275" s="812"/>
      <c r="X275" s="812"/>
      <c r="Y275" s="812"/>
      <c r="Z275" s="812"/>
      <c r="AA275" s="812"/>
      <c r="AB275" s="812"/>
      <c r="AC275" s="834"/>
      <c r="AD275" s="834"/>
      <c r="AE275" s="815"/>
      <c r="AF275" s="815"/>
      <c r="AG275" s="816"/>
      <c r="AH275" s="815"/>
      <c r="AI275" s="828"/>
      <c r="AJ275" s="828"/>
      <c r="AK275" s="828"/>
      <c r="AL275" s="828"/>
      <c r="AM275" s="828"/>
      <c r="AN275" s="828"/>
      <c r="AO275" s="830"/>
      <c r="AP275" s="830"/>
      <c r="AQ275" s="830"/>
      <c r="AR275" s="830"/>
      <c r="AS275" s="830"/>
      <c r="AT275" s="835"/>
      <c r="AU275" s="835"/>
      <c r="AV275" s="828"/>
      <c r="AW275" s="944"/>
    </row>
    <row r="276" spans="2:55" s="196" customFormat="1" ht="33">
      <c r="B276" s="770"/>
      <c r="C276" s="851" t="s">
        <v>1720</v>
      </c>
      <c r="D276" s="845"/>
      <c r="E276" s="846"/>
      <c r="F276" s="846"/>
      <c r="G276" s="846"/>
      <c r="H276" s="847"/>
      <c r="I276" s="846"/>
      <c r="J276" s="847"/>
      <c r="K276" s="846"/>
      <c r="L276" s="846"/>
      <c r="M276" s="847"/>
      <c r="N276" s="846"/>
      <c r="O276" s="847"/>
      <c r="P276" s="846"/>
      <c r="Q276" s="846"/>
      <c r="R276" s="846"/>
      <c r="S276" s="846"/>
      <c r="T276" s="846"/>
      <c r="U276" s="846"/>
      <c r="V276" s="846"/>
      <c r="W276" s="846"/>
      <c r="X276" s="846"/>
      <c r="Y276" s="846"/>
      <c r="Z276" s="846"/>
      <c r="AA276" s="846"/>
      <c r="AB276" s="846"/>
      <c r="AC276" s="848"/>
      <c r="AD276" s="848"/>
      <c r="AE276" s="849"/>
      <c r="AF276" s="849"/>
      <c r="AG276" s="850"/>
      <c r="AH276" s="849"/>
      <c r="AI276" s="828"/>
      <c r="AJ276" s="828"/>
      <c r="AK276" s="828"/>
      <c r="AL276" s="828"/>
      <c r="AM276" s="828"/>
      <c r="AN276" s="828"/>
      <c r="AO276" s="830"/>
      <c r="AP276" s="830"/>
      <c r="AQ276" s="830"/>
      <c r="AR276" s="830"/>
      <c r="AS276" s="830"/>
      <c r="AT276" s="835"/>
      <c r="AU276" s="835"/>
      <c r="AV276" s="828"/>
      <c r="AW276" s="944"/>
      <c r="BC276" s="197"/>
    </row>
    <row r="277" spans="2:55" s="196" customFormat="1" ht="33">
      <c r="B277" s="770"/>
      <c r="C277" s="819" t="s">
        <v>556</v>
      </c>
      <c r="D277" s="820"/>
      <c r="E277" s="770" t="s">
        <v>511</v>
      </c>
      <c r="F277" s="770">
        <v>14</v>
      </c>
      <c r="G277" s="821">
        <v>7001</v>
      </c>
      <c r="H277" s="824">
        <v>0.2</v>
      </c>
      <c r="I277" s="821">
        <f>G277*H277</f>
        <v>1400.2</v>
      </c>
      <c r="J277" s="824">
        <v>0.15</v>
      </c>
      <c r="K277" s="829">
        <f>(G277+I277)*J277</f>
        <v>1260.18</v>
      </c>
      <c r="L277" s="821"/>
      <c r="M277" s="770"/>
      <c r="N277" s="812"/>
      <c r="O277" s="824">
        <v>0.15</v>
      </c>
      <c r="P277" s="829">
        <f t="shared" ref="P277:P283" si="381">G277*O277</f>
        <v>1050.1499999999999</v>
      </c>
      <c r="Q277" s="824"/>
      <c r="R277" s="821">
        <f t="shared" ref="R277:R283" si="382">G277+I277+K277+L277+N277+P277+Q277</f>
        <v>10711.53</v>
      </c>
      <c r="S277" s="821">
        <v>1</v>
      </c>
      <c r="T277" s="770"/>
      <c r="U277" s="770"/>
      <c r="V277" s="824"/>
      <c r="W277" s="770"/>
      <c r="X277" s="770"/>
      <c r="Y277" s="824">
        <v>0</v>
      </c>
      <c r="Z277" s="821">
        <f t="shared" ref="Z277:Z283" si="383">R277*Y277</f>
        <v>0</v>
      </c>
      <c r="AA277" s="821"/>
      <c r="AB277" s="821">
        <f>R277+Z277</f>
        <v>10711.53</v>
      </c>
      <c r="AC277" s="825">
        <f t="shared" ref="AC277:AC283" si="384">AF277</f>
        <v>9288.4699999999993</v>
      </c>
      <c r="AD277" s="825">
        <f t="shared" ref="AD277:AD283" si="385">AB277+AC277</f>
        <v>20000</v>
      </c>
      <c r="AE277" s="826">
        <f>20000*S277</f>
        <v>20000</v>
      </c>
      <c r="AF277" s="826">
        <f t="shared" ref="AF277:AF283" si="386">AE277-AB277</f>
        <v>9288.4699999999993</v>
      </c>
      <c r="AG277" s="827">
        <f t="shared" ref="AG277:AG283" si="387">6700*S277</f>
        <v>6700</v>
      </c>
      <c r="AH277" s="826">
        <f t="shared" ref="AH277:AH283" si="388">AB277-AG277</f>
        <v>4011.5300000000007</v>
      </c>
      <c r="AI277" s="828">
        <f t="shared" ref="AI277:AI283" si="389">G277*S277</f>
        <v>7001</v>
      </c>
      <c r="AJ277" s="828">
        <f t="shared" ref="AJ277:AJ283" si="390">G277*T277</f>
        <v>0</v>
      </c>
      <c r="AK277" s="828">
        <f t="shared" ref="AK277:AK283" si="391">R277*S277</f>
        <v>10711.53</v>
      </c>
      <c r="AL277" s="828">
        <f t="shared" ref="AL277:AL283" si="392">R277*T277</f>
        <v>0</v>
      </c>
      <c r="AM277" s="828">
        <f t="shared" ref="AM277:AN283" si="393">AK277-AI277</f>
        <v>3710.5300000000007</v>
      </c>
      <c r="AN277" s="828">
        <f t="shared" si="393"/>
        <v>0</v>
      </c>
      <c r="AO277" s="830">
        <f t="shared" ref="AO277:AO283" si="394">Z277*S277</f>
        <v>0</v>
      </c>
      <c r="AP277" s="830">
        <f t="shared" ref="AP277:AP283" si="395">Z277*T277</f>
        <v>0</v>
      </c>
      <c r="AQ277" s="830">
        <f t="shared" ref="AQ277:AQ283" si="396">AA277</f>
        <v>0</v>
      </c>
      <c r="AR277" s="830">
        <f t="shared" ref="AR277:AR283" si="397">W277*S277</f>
        <v>0</v>
      </c>
      <c r="AS277" s="830">
        <f t="shared" ref="AS277:AS283" si="398">W277*T277</f>
        <v>0</v>
      </c>
      <c r="AT277" s="835">
        <f t="shared" si="376"/>
        <v>10711.53</v>
      </c>
      <c r="AU277" s="835">
        <f t="shared" si="377"/>
        <v>0</v>
      </c>
      <c r="AV277" s="828"/>
      <c r="AW277" s="944">
        <f t="shared" ref="AW277:AW283" si="399">AT277+AU277-AV277</f>
        <v>10711.53</v>
      </c>
    </row>
    <row r="278" spans="2:55" s="196" customFormat="1" ht="33">
      <c r="B278" s="770"/>
      <c r="C278" s="819" t="s">
        <v>1263</v>
      </c>
      <c r="D278" s="820"/>
      <c r="E278" s="770" t="s">
        <v>511</v>
      </c>
      <c r="F278" s="770">
        <v>14</v>
      </c>
      <c r="G278" s="821">
        <v>7001</v>
      </c>
      <c r="H278" s="770"/>
      <c r="I278" s="770"/>
      <c r="J278" s="770"/>
      <c r="K278" s="770"/>
      <c r="L278" s="770"/>
      <c r="M278" s="770"/>
      <c r="N278" s="812"/>
      <c r="O278" s="824">
        <v>0.15</v>
      </c>
      <c r="P278" s="829">
        <f t="shared" si="381"/>
        <v>1050.1499999999999</v>
      </c>
      <c r="Q278" s="824"/>
      <c r="R278" s="821">
        <f t="shared" si="382"/>
        <v>8051.15</v>
      </c>
      <c r="S278" s="821">
        <v>1</v>
      </c>
      <c r="T278" s="770"/>
      <c r="U278" s="770"/>
      <c r="V278" s="824"/>
      <c r="W278" s="770"/>
      <c r="X278" s="770"/>
      <c r="Y278" s="824">
        <v>0</v>
      </c>
      <c r="Z278" s="821">
        <f t="shared" si="383"/>
        <v>0</v>
      </c>
      <c r="AA278" s="821"/>
      <c r="AB278" s="821">
        <f>R278+Z278</f>
        <v>8051.15</v>
      </c>
      <c r="AC278" s="825">
        <f t="shared" si="384"/>
        <v>11948.85</v>
      </c>
      <c r="AD278" s="825">
        <f t="shared" si="385"/>
        <v>20000</v>
      </c>
      <c r="AE278" s="826">
        <f>20000*S278</f>
        <v>20000</v>
      </c>
      <c r="AF278" s="826">
        <f t="shared" si="386"/>
        <v>11948.85</v>
      </c>
      <c r="AG278" s="827">
        <f t="shared" si="387"/>
        <v>6700</v>
      </c>
      <c r="AH278" s="826">
        <f t="shared" si="388"/>
        <v>1351.1499999999996</v>
      </c>
      <c r="AI278" s="828">
        <f t="shared" si="389"/>
        <v>7001</v>
      </c>
      <c r="AJ278" s="828">
        <f t="shared" si="390"/>
        <v>0</v>
      </c>
      <c r="AK278" s="828">
        <f t="shared" si="391"/>
        <v>8051.15</v>
      </c>
      <c r="AL278" s="828">
        <f t="shared" si="392"/>
        <v>0</v>
      </c>
      <c r="AM278" s="828">
        <f t="shared" si="393"/>
        <v>1050.1499999999996</v>
      </c>
      <c r="AN278" s="828">
        <f t="shared" si="393"/>
        <v>0</v>
      </c>
      <c r="AO278" s="830">
        <f t="shared" si="394"/>
        <v>0</v>
      </c>
      <c r="AP278" s="830">
        <f t="shared" si="395"/>
        <v>0</v>
      </c>
      <c r="AQ278" s="830">
        <f t="shared" si="396"/>
        <v>0</v>
      </c>
      <c r="AR278" s="830">
        <f t="shared" si="397"/>
        <v>0</v>
      </c>
      <c r="AS278" s="830">
        <f t="shared" si="398"/>
        <v>0</v>
      </c>
      <c r="AT278" s="835">
        <f t="shared" si="376"/>
        <v>8051.15</v>
      </c>
      <c r="AU278" s="835">
        <f t="shared" si="377"/>
        <v>0</v>
      </c>
      <c r="AV278" s="828"/>
      <c r="AW278" s="944">
        <f t="shared" si="399"/>
        <v>8051.15</v>
      </c>
    </row>
    <row r="279" spans="2:55" s="196" customFormat="1" ht="58.5">
      <c r="B279" s="770"/>
      <c r="C279" s="819" t="s">
        <v>1263</v>
      </c>
      <c r="D279" s="820" t="s">
        <v>787</v>
      </c>
      <c r="E279" s="770" t="s">
        <v>1282</v>
      </c>
      <c r="F279" s="770">
        <v>14</v>
      </c>
      <c r="G279" s="821">
        <v>7001</v>
      </c>
      <c r="H279" s="770"/>
      <c r="I279" s="770"/>
      <c r="J279" s="770"/>
      <c r="K279" s="770"/>
      <c r="L279" s="770"/>
      <c r="M279" s="770"/>
      <c r="N279" s="812"/>
      <c r="O279" s="824">
        <v>0.15</v>
      </c>
      <c r="P279" s="829">
        <f>G279*O279</f>
        <v>1050.1499999999999</v>
      </c>
      <c r="Q279" s="824"/>
      <c r="R279" s="821">
        <f>G279+I279+K279+L279+N279+P279+Q279</f>
        <v>8051.15</v>
      </c>
      <c r="S279" s="821">
        <v>1</v>
      </c>
      <c r="T279" s="770"/>
      <c r="U279" s="770"/>
      <c r="V279" s="824"/>
      <c r="W279" s="770"/>
      <c r="X279" s="770">
        <v>22</v>
      </c>
      <c r="Y279" s="824">
        <v>0.3</v>
      </c>
      <c r="Z279" s="821">
        <f>R279*Y279</f>
        <v>2415.3449999999998</v>
      </c>
      <c r="AA279" s="821"/>
      <c r="AB279" s="821">
        <f>R279+Z279</f>
        <v>10466.494999999999</v>
      </c>
      <c r="AC279" s="825">
        <f>AF279</f>
        <v>9533.505000000001</v>
      </c>
      <c r="AD279" s="825">
        <f>AB279+AC279</f>
        <v>20000</v>
      </c>
      <c r="AE279" s="826">
        <f>20000*S279</f>
        <v>20000</v>
      </c>
      <c r="AF279" s="826">
        <f>AE279-AB279</f>
        <v>9533.505000000001</v>
      </c>
      <c r="AG279" s="827">
        <f t="shared" si="387"/>
        <v>6700</v>
      </c>
      <c r="AH279" s="826">
        <f>AB279-AG279</f>
        <v>3766.494999999999</v>
      </c>
      <c r="AI279" s="828">
        <f>G279*S279</f>
        <v>7001</v>
      </c>
      <c r="AJ279" s="828">
        <f>G279*T279</f>
        <v>0</v>
      </c>
      <c r="AK279" s="828">
        <f t="shared" si="391"/>
        <v>8051.15</v>
      </c>
      <c r="AL279" s="828">
        <f t="shared" si="392"/>
        <v>0</v>
      </c>
      <c r="AM279" s="828">
        <f t="shared" si="393"/>
        <v>1050.1499999999996</v>
      </c>
      <c r="AN279" s="828">
        <f t="shared" si="393"/>
        <v>0</v>
      </c>
      <c r="AO279" s="830">
        <f t="shared" si="394"/>
        <v>2415.3449999999998</v>
      </c>
      <c r="AP279" s="830">
        <f t="shared" si="395"/>
        <v>0</v>
      </c>
      <c r="AQ279" s="830">
        <f t="shared" si="396"/>
        <v>0</v>
      </c>
      <c r="AR279" s="830">
        <f t="shared" si="397"/>
        <v>0</v>
      </c>
      <c r="AS279" s="830">
        <f t="shared" si="398"/>
        <v>0</v>
      </c>
      <c r="AT279" s="835">
        <f t="shared" si="376"/>
        <v>8051.15</v>
      </c>
      <c r="AU279" s="835">
        <f t="shared" si="377"/>
        <v>0</v>
      </c>
      <c r="AV279" s="828"/>
      <c r="AW279" s="944">
        <f t="shared" si="399"/>
        <v>8051.15</v>
      </c>
    </row>
    <row r="280" spans="2:55" s="196" customFormat="1" ht="58.5">
      <c r="B280" s="770"/>
      <c r="C280" s="819" t="s">
        <v>1263</v>
      </c>
      <c r="D280" s="820" t="s">
        <v>1283</v>
      </c>
      <c r="E280" s="770" t="s">
        <v>1284</v>
      </c>
      <c r="F280" s="770">
        <v>14</v>
      </c>
      <c r="G280" s="821">
        <v>7001</v>
      </c>
      <c r="H280" s="770"/>
      <c r="I280" s="770"/>
      <c r="J280" s="770"/>
      <c r="K280" s="770"/>
      <c r="L280" s="770"/>
      <c r="M280" s="770"/>
      <c r="N280" s="812"/>
      <c r="O280" s="824">
        <v>0.15</v>
      </c>
      <c r="P280" s="829">
        <f t="shared" si="381"/>
        <v>1050.1499999999999</v>
      </c>
      <c r="Q280" s="824"/>
      <c r="R280" s="821">
        <f t="shared" si="382"/>
        <v>8051.15</v>
      </c>
      <c r="S280" s="821">
        <v>1</v>
      </c>
      <c r="T280" s="821"/>
      <c r="U280" s="770"/>
      <c r="V280" s="824"/>
      <c r="W280" s="770"/>
      <c r="X280" s="770">
        <v>33</v>
      </c>
      <c r="Y280" s="824">
        <v>0.3</v>
      </c>
      <c r="Z280" s="821">
        <f t="shared" si="383"/>
        <v>2415.3449999999998</v>
      </c>
      <c r="AA280" s="821"/>
      <c r="AB280" s="821">
        <f>R280+Z280</f>
        <v>10466.494999999999</v>
      </c>
      <c r="AC280" s="825">
        <f>AF280</f>
        <v>9533.505000000001</v>
      </c>
      <c r="AD280" s="825">
        <f>AB280+AC280</f>
        <v>20000</v>
      </c>
      <c r="AE280" s="826">
        <f>20000*S280</f>
        <v>20000</v>
      </c>
      <c r="AF280" s="826">
        <f>AE280-AB280</f>
        <v>9533.505000000001</v>
      </c>
      <c r="AG280" s="827">
        <f t="shared" si="387"/>
        <v>6700</v>
      </c>
      <c r="AH280" s="826">
        <f>AB280-AG280</f>
        <v>3766.494999999999</v>
      </c>
      <c r="AI280" s="828">
        <f t="shared" si="389"/>
        <v>7001</v>
      </c>
      <c r="AJ280" s="828">
        <f t="shared" si="390"/>
        <v>0</v>
      </c>
      <c r="AK280" s="828">
        <f t="shared" si="391"/>
        <v>8051.15</v>
      </c>
      <c r="AL280" s="828">
        <f t="shared" si="392"/>
        <v>0</v>
      </c>
      <c r="AM280" s="828">
        <f t="shared" si="393"/>
        <v>1050.1499999999996</v>
      </c>
      <c r="AN280" s="828">
        <f t="shared" si="393"/>
        <v>0</v>
      </c>
      <c r="AO280" s="830">
        <f t="shared" si="394"/>
        <v>2415.3449999999998</v>
      </c>
      <c r="AP280" s="830">
        <f t="shared" si="395"/>
        <v>0</v>
      </c>
      <c r="AQ280" s="830">
        <f t="shared" si="396"/>
        <v>0</v>
      </c>
      <c r="AR280" s="830">
        <f t="shared" si="397"/>
        <v>0</v>
      </c>
      <c r="AS280" s="830">
        <f t="shared" si="398"/>
        <v>0</v>
      </c>
      <c r="AT280" s="835">
        <f t="shared" si="376"/>
        <v>8051.15</v>
      </c>
      <c r="AU280" s="835">
        <f t="shared" si="377"/>
        <v>0</v>
      </c>
      <c r="AV280" s="828"/>
      <c r="AW280" s="944">
        <f t="shared" si="399"/>
        <v>8051.15</v>
      </c>
    </row>
    <row r="281" spans="2:55" s="196" customFormat="1" ht="87.75">
      <c r="B281" s="770"/>
      <c r="C281" s="819" t="s">
        <v>1263</v>
      </c>
      <c r="D281" s="820" t="s">
        <v>557</v>
      </c>
      <c r="E281" s="770" t="s">
        <v>1299</v>
      </c>
      <c r="F281" s="770">
        <v>11</v>
      </c>
      <c r="G281" s="821">
        <v>5699</v>
      </c>
      <c r="H281" s="770"/>
      <c r="I281" s="770"/>
      <c r="J281" s="770"/>
      <c r="K281" s="770"/>
      <c r="L281" s="770"/>
      <c r="M281" s="770"/>
      <c r="N281" s="812"/>
      <c r="O281" s="824">
        <v>0.15</v>
      </c>
      <c r="P281" s="829">
        <f t="shared" si="381"/>
        <v>854.85</v>
      </c>
      <c r="Q281" s="824"/>
      <c r="R281" s="821">
        <f t="shared" si="382"/>
        <v>6553.85</v>
      </c>
      <c r="S281" s="821">
        <v>1</v>
      </c>
      <c r="T281" s="770"/>
      <c r="U281" s="770"/>
      <c r="V281" s="824"/>
      <c r="W281" s="770"/>
      <c r="X281" s="770">
        <v>2</v>
      </c>
      <c r="Y281" s="824">
        <v>0</v>
      </c>
      <c r="Z281" s="821">
        <f t="shared" si="383"/>
        <v>0</v>
      </c>
      <c r="AA281" s="821">
        <f>AH281</f>
        <v>146.14999999999964</v>
      </c>
      <c r="AB281" s="821">
        <f>(R281+Z281)*S281+AA281</f>
        <v>6700</v>
      </c>
      <c r="AC281" s="825">
        <f>AF281</f>
        <v>13300</v>
      </c>
      <c r="AD281" s="825">
        <f>AB281+AC281</f>
        <v>20000</v>
      </c>
      <c r="AE281" s="826">
        <f>20000*S281</f>
        <v>20000</v>
      </c>
      <c r="AF281" s="826">
        <f>AE281-AB281</f>
        <v>13300</v>
      </c>
      <c r="AG281" s="827">
        <f t="shared" si="387"/>
        <v>6700</v>
      </c>
      <c r="AH281" s="826">
        <f>AG281-(R281*S281)</f>
        <v>146.14999999999964</v>
      </c>
      <c r="AI281" s="828">
        <f t="shared" si="389"/>
        <v>5699</v>
      </c>
      <c r="AJ281" s="828">
        <f t="shared" si="390"/>
        <v>0</v>
      </c>
      <c r="AK281" s="828">
        <f t="shared" si="391"/>
        <v>6553.85</v>
      </c>
      <c r="AL281" s="828">
        <f t="shared" si="392"/>
        <v>0</v>
      </c>
      <c r="AM281" s="828">
        <f t="shared" si="393"/>
        <v>854.85000000000036</v>
      </c>
      <c r="AN281" s="828">
        <f t="shared" si="393"/>
        <v>0</v>
      </c>
      <c r="AO281" s="830">
        <f t="shared" si="394"/>
        <v>0</v>
      </c>
      <c r="AP281" s="830">
        <f t="shared" si="395"/>
        <v>0</v>
      </c>
      <c r="AQ281" s="830">
        <f t="shared" si="396"/>
        <v>146.14999999999964</v>
      </c>
      <c r="AR281" s="830">
        <f t="shared" si="397"/>
        <v>0</v>
      </c>
      <c r="AS281" s="830">
        <f t="shared" si="398"/>
        <v>0</v>
      </c>
      <c r="AT281" s="835">
        <f t="shared" si="376"/>
        <v>6553.85</v>
      </c>
      <c r="AU281" s="835">
        <f t="shared" si="377"/>
        <v>0</v>
      </c>
      <c r="AV281" s="828"/>
      <c r="AW281" s="944">
        <f t="shared" si="399"/>
        <v>6553.85</v>
      </c>
    </row>
    <row r="282" spans="2:55" s="196" customFormat="1" ht="58.5">
      <c r="B282" s="770"/>
      <c r="C282" s="819" t="s">
        <v>1263</v>
      </c>
      <c r="D282" s="820" t="s">
        <v>558</v>
      </c>
      <c r="E282" s="770" t="s">
        <v>559</v>
      </c>
      <c r="F282" s="770">
        <v>12</v>
      </c>
      <c r="G282" s="821">
        <v>6133</v>
      </c>
      <c r="H282" s="770"/>
      <c r="I282" s="770"/>
      <c r="J282" s="770"/>
      <c r="K282" s="770"/>
      <c r="L282" s="770"/>
      <c r="M282" s="770"/>
      <c r="N282" s="812"/>
      <c r="O282" s="824">
        <v>0.15</v>
      </c>
      <c r="P282" s="829">
        <f t="shared" si="381"/>
        <v>919.94999999999993</v>
      </c>
      <c r="Q282" s="824"/>
      <c r="R282" s="821">
        <f t="shared" si="382"/>
        <v>7052.95</v>
      </c>
      <c r="S282" s="821"/>
      <c r="T282" s="821">
        <v>0.5</v>
      </c>
      <c r="U282" s="770"/>
      <c r="V282" s="824"/>
      <c r="W282" s="770"/>
      <c r="X282" s="770">
        <v>10</v>
      </c>
      <c r="Y282" s="824">
        <v>0.2</v>
      </c>
      <c r="Z282" s="821">
        <f t="shared" si="383"/>
        <v>1410.5900000000001</v>
      </c>
      <c r="AA282" s="821"/>
      <c r="AB282" s="821">
        <f>(R282+Z282)*T282+AA282</f>
        <v>4231.7700000000004</v>
      </c>
      <c r="AC282" s="825">
        <f t="shared" si="384"/>
        <v>5768.23</v>
      </c>
      <c r="AD282" s="825">
        <f t="shared" si="385"/>
        <v>10000</v>
      </c>
      <c r="AE282" s="826">
        <f>20000*T282</f>
        <v>10000</v>
      </c>
      <c r="AF282" s="826">
        <f t="shared" si="386"/>
        <v>5768.23</v>
      </c>
      <c r="AG282" s="827">
        <f>6700*T282</f>
        <v>3350</v>
      </c>
      <c r="AH282" s="826">
        <f t="shared" si="388"/>
        <v>881.77000000000044</v>
      </c>
      <c r="AI282" s="828">
        <f>G282*S282</f>
        <v>0</v>
      </c>
      <c r="AJ282" s="828">
        <f>G282*T282</f>
        <v>3066.5</v>
      </c>
      <c r="AK282" s="828">
        <f t="shared" si="391"/>
        <v>0</v>
      </c>
      <c r="AL282" s="828">
        <f t="shared" si="392"/>
        <v>3526.4749999999999</v>
      </c>
      <c r="AM282" s="828">
        <f t="shared" si="393"/>
        <v>0</v>
      </c>
      <c r="AN282" s="828">
        <f t="shared" si="393"/>
        <v>459.97499999999991</v>
      </c>
      <c r="AO282" s="830">
        <f t="shared" si="394"/>
        <v>0</v>
      </c>
      <c r="AP282" s="830">
        <f t="shared" si="395"/>
        <v>705.29500000000007</v>
      </c>
      <c r="AQ282" s="830">
        <f t="shared" si="396"/>
        <v>0</v>
      </c>
      <c r="AR282" s="830">
        <f t="shared" si="397"/>
        <v>0</v>
      </c>
      <c r="AS282" s="830">
        <f t="shared" si="398"/>
        <v>0</v>
      </c>
      <c r="AT282" s="835">
        <f t="shared" si="376"/>
        <v>0</v>
      </c>
      <c r="AU282" s="835">
        <f t="shared" si="377"/>
        <v>3526.4749999999999</v>
      </c>
      <c r="AV282" s="828"/>
      <c r="AW282" s="944">
        <f t="shared" si="399"/>
        <v>3526.4749999999999</v>
      </c>
    </row>
    <row r="283" spans="2:55" s="196" customFormat="1" ht="87.75">
      <c r="B283" s="770"/>
      <c r="C283" s="819" t="s">
        <v>1263</v>
      </c>
      <c r="D283" s="820" t="s">
        <v>560</v>
      </c>
      <c r="E283" s="770" t="s">
        <v>1667</v>
      </c>
      <c r="F283" s="770">
        <v>11</v>
      </c>
      <c r="G283" s="821">
        <v>5699</v>
      </c>
      <c r="H283" s="770"/>
      <c r="I283" s="770"/>
      <c r="J283" s="770"/>
      <c r="K283" s="770"/>
      <c r="L283" s="770"/>
      <c r="M283" s="770"/>
      <c r="N283" s="812"/>
      <c r="O283" s="824">
        <v>0.15</v>
      </c>
      <c r="P283" s="829">
        <f t="shared" si="381"/>
        <v>854.85</v>
      </c>
      <c r="Q283" s="824"/>
      <c r="R283" s="821">
        <f t="shared" si="382"/>
        <v>6553.85</v>
      </c>
      <c r="S283" s="821">
        <v>1</v>
      </c>
      <c r="T283" s="770"/>
      <c r="U283" s="770"/>
      <c r="V283" s="824"/>
      <c r="W283" s="770"/>
      <c r="X283" s="770">
        <v>5</v>
      </c>
      <c r="Y283" s="824">
        <v>0.1</v>
      </c>
      <c r="Z283" s="821">
        <f t="shared" si="383"/>
        <v>655.3850000000001</v>
      </c>
      <c r="AA283" s="821"/>
      <c r="AB283" s="821">
        <f>(R283+Z283)*S283</f>
        <v>7209.2350000000006</v>
      </c>
      <c r="AC283" s="825">
        <f t="shared" si="384"/>
        <v>12790.764999999999</v>
      </c>
      <c r="AD283" s="825">
        <f t="shared" si="385"/>
        <v>20000</v>
      </c>
      <c r="AE283" s="826">
        <f>20000*S283</f>
        <v>20000</v>
      </c>
      <c r="AF283" s="826">
        <f t="shared" si="386"/>
        <v>12790.764999999999</v>
      </c>
      <c r="AG283" s="827">
        <f t="shared" si="387"/>
        <v>6700</v>
      </c>
      <c r="AH283" s="826">
        <f t="shared" si="388"/>
        <v>509.23500000000058</v>
      </c>
      <c r="AI283" s="828">
        <f t="shared" si="389"/>
        <v>5699</v>
      </c>
      <c r="AJ283" s="828">
        <f t="shared" si="390"/>
        <v>0</v>
      </c>
      <c r="AK283" s="828">
        <f t="shared" si="391"/>
        <v>6553.85</v>
      </c>
      <c r="AL283" s="828">
        <f t="shared" si="392"/>
        <v>0</v>
      </c>
      <c r="AM283" s="828">
        <f t="shared" si="393"/>
        <v>854.85000000000036</v>
      </c>
      <c r="AN283" s="828">
        <f t="shared" si="393"/>
        <v>0</v>
      </c>
      <c r="AO283" s="830">
        <f t="shared" si="394"/>
        <v>655.3850000000001</v>
      </c>
      <c r="AP283" s="830">
        <f t="shared" si="395"/>
        <v>0</v>
      </c>
      <c r="AQ283" s="830">
        <f t="shared" si="396"/>
        <v>0</v>
      </c>
      <c r="AR283" s="830">
        <f t="shared" si="397"/>
        <v>0</v>
      </c>
      <c r="AS283" s="830">
        <f t="shared" si="398"/>
        <v>0</v>
      </c>
      <c r="AT283" s="835">
        <f t="shared" si="376"/>
        <v>6553.85</v>
      </c>
      <c r="AU283" s="835">
        <f t="shared" si="377"/>
        <v>0</v>
      </c>
      <c r="AV283" s="828"/>
      <c r="AW283" s="944">
        <f t="shared" si="399"/>
        <v>6553.85</v>
      </c>
    </row>
    <row r="284" spans="2:55" s="196" customFormat="1" ht="31.5">
      <c r="B284" s="770"/>
      <c r="C284" s="799" t="s">
        <v>504</v>
      </c>
      <c r="D284" s="832"/>
      <c r="E284" s="812"/>
      <c r="F284" s="812"/>
      <c r="G284" s="802">
        <f>SUM(G277:G283)</f>
        <v>45535</v>
      </c>
      <c r="H284" s="875"/>
      <c r="I284" s="802"/>
      <c r="J284" s="867"/>
      <c r="K284" s="804"/>
      <c r="L284" s="812"/>
      <c r="M284" s="813"/>
      <c r="N284" s="812"/>
      <c r="O284" s="813"/>
      <c r="P284" s="803">
        <f>SUM(P277:P283)</f>
        <v>6830.25</v>
      </c>
      <c r="Q284" s="812"/>
      <c r="R284" s="802">
        <f>SUM(R277:R283)</f>
        <v>55025.63</v>
      </c>
      <c r="S284" s="802">
        <f>SUM(S277:S283)</f>
        <v>6</v>
      </c>
      <c r="T284" s="802">
        <f>SUM(T277:T283)</f>
        <v>0.5</v>
      </c>
      <c r="U284" s="802"/>
      <c r="V284" s="802"/>
      <c r="W284" s="802"/>
      <c r="X284" s="802"/>
      <c r="Y284" s="802"/>
      <c r="Z284" s="802">
        <f>SUM(Z277:Z283)</f>
        <v>6896.665</v>
      </c>
      <c r="AA284" s="802">
        <f>SUM(AA277:AA283)</f>
        <v>146.14999999999964</v>
      </c>
      <c r="AB284" s="802">
        <f>SUM(AB277:AB283)</f>
        <v>57836.675000000003</v>
      </c>
      <c r="AC284" s="802">
        <f t="shared" ref="AC284:AW284" si="400">SUM(AC277:AC283)</f>
        <v>72163.324999999997</v>
      </c>
      <c r="AD284" s="802">
        <f t="shared" si="400"/>
        <v>130000</v>
      </c>
      <c r="AE284" s="802">
        <f t="shared" si="400"/>
        <v>130000</v>
      </c>
      <c r="AF284" s="802">
        <f t="shared" si="400"/>
        <v>72163.324999999997</v>
      </c>
      <c r="AG284" s="802">
        <f t="shared" si="400"/>
        <v>43550</v>
      </c>
      <c r="AH284" s="802">
        <f t="shared" si="400"/>
        <v>14432.824999999999</v>
      </c>
      <c r="AI284" s="802">
        <f t="shared" si="400"/>
        <v>39402</v>
      </c>
      <c r="AJ284" s="802">
        <f t="shared" si="400"/>
        <v>3066.5</v>
      </c>
      <c r="AK284" s="802">
        <f t="shared" si="400"/>
        <v>47972.68</v>
      </c>
      <c r="AL284" s="802">
        <f t="shared" si="400"/>
        <v>3526.4749999999999</v>
      </c>
      <c r="AM284" s="802">
        <f t="shared" si="400"/>
        <v>8570.68</v>
      </c>
      <c r="AN284" s="802">
        <f t="shared" si="400"/>
        <v>459.97499999999991</v>
      </c>
      <c r="AO284" s="802">
        <f t="shared" si="400"/>
        <v>5486.0749999999998</v>
      </c>
      <c r="AP284" s="802">
        <f t="shared" si="400"/>
        <v>705.29500000000007</v>
      </c>
      <c r="AQ284" s="802">
        <f t="shared" si="400"/>
        <v>146.14999999999964</v>
      </c>
      <c r="AR284" s="802">
        <f t="shared" si="400"/>
        <v>0</v>
      </c>
      <c r="AS284" s="802">
        <f t="shared" si="400"/>
        <v>0</v>
      </c>
      <c r="AT284" s="802">
        <f t="shared" si="400"/>
        <v>47972.68</v>
      </c>
      <c r="AU284" s="802">
        <f t="shared" si="400"/>
        <v>3526.4749999999999</v>
      </c>
      <c r="AV284" s="802">
        <f t="shared" si="400"/>
        <v>0</v>
      </c>
      <c r="AW284" s="802">
        <f t="shared" si="400"/>
        <v>51499.154999999999</v>
      </c>
    </row>
    <row r="285" spans="2:55" s="196" customFormat="1" ht="33">
      <c r="B285" s="770"/>
      <c r="C285" s="851" t="s">
        <v>1988</v>
      </c>
      <c r="D285" s="811"/>
      <c r="E285" s="812"/>
      <c r="F285" s="812"/>
      <c r="G285" s="812"/>
      <c r="H285" s="813"/>
      <c r="I285" s="812"/>
      <c r="J285" s="813"/>
      <c r="K285" s="812"/>
      <c r="L285" s="812"/>
      <c r="M285" s="813"/>
      <c r="N285" s="812"/>
      <c r="O285" s="813"/>
      <c r="P285" s="812"/>
      <c r="Q285" s="812"/>
      <c r="R285" s="812"/>
      <c r="S285" s="812"/>
      <c r="T285" s="812"/>
      <c r="U285" s="812"/>
      <c r="V285" s="812"/>
      <c r="W285" s="812"/>
      <c r="X285" s="812"/>
      <c r="Y285" s="812"/>
      <c r="Z285" s="812"/>
      <c r="AA285" s="812"/>
      <c r="AB285" s="812"/>
      <c r="AC285" s="834"/>
      <c r="AD285" s="834"/>
      <c r="AE285" s="815"/>
      <c r="AF285" s="815"/>
      <c r="AG285" s="816"/>
      <c r="AH285" s="815"/>
      <c r="AI285" s="828"/>
      <c r="AJ285" s="828"/>
      <c r="AK285" s="828"/>
      <c r="AL285" s="828"/>
      <c r="AM285" s="828"/>
      <c r="AN285" s="828"/>
      <c r="AO285" s="830"/>
      <c r="AP285" s="830"/>
      <c r="AQ285" s="830"/>
      <c r="AR285" s="830"/>
      <c r="AS285" s="830"/>
      <c r="AT285" s="835"/>
      <c r="AU285" s="835"/>
      <c r="AV285" s="828"/>
      <c r="AW285" s="944"/>
    </row>
    <row r="286" spans="2:55" s="196" customFormat="1" ht="58.5">
      <c r="B286" s="770"/>
      <c r="C286" s="878" t="s">
        <v>1323</v>
      </c>
      <c r="D286" s="820" t="s">
        <v>582</v>
      </c>
      <c r="E286" s="770" t="s">
        <v>1396</v>
      </c>
      <c r="F286" s="770">
        <v>9</v>
      </c>
      <c r="G286" s="821">
        <v>5005</v>
      </c>
      <c r="H286" s="824">
        <v>0.1</v>
      </c>
      <c r="I286" s="770">
        <f>G286*H286</f>
        <v>500.5</v>
      </c>
      <c r="J286" s="831"/>
      <c r="K286" s="831"/>
      <c r="L286" s="831"/>
      <c r="M286" s="831"/>
      <c r="N286" s="831"/>
      <c r="O286" s="824">
        <v>0.15</v>
      </c>
      <c r="P286" s="821">
        <f>(G286+I286)*O286</f>
        <v>825.82499999999993</v>
      </c>
      <c r="Q286" s="831"/>
      <c r="R286" s="821">
        <f>G286+I286+K286+L286+N286+P286+Q286</f>
        <v>6331.3249999999998</v>
      </c>
      <c r="S286" s="821">
        <v>1</v>
      </c>
      <c r="T286" s="831"/>
      <c r="U286" s="831"/>
      <c r="V286" s="831"/>
      <c r="W286" s="831"/>
      <c r="X286" s="770">
        <v>29</v>
      </c>
      <c r="Y286" s="824">
        <v>0.3</v>
      </c>
      <c r="Z286" s="821">
        <f>R286*Y286</f>
        <v>1899.3974999999998</v>
      </c>
      <c r="AA286" s="821"/>
      <c r="AB286" s="821">
        <f>(R286+Z286)*S286</f>
        <v>8230.7224999999999</v>
      </c>
      <c r="AC286" s="825">
        <f t="shared" ref="AC286:AC295" si="401">AF286</f>
        <v>5269.2775000000001</v>
      </c>
      <c r="AD286" s="825">
        <f t="shared" ref="AD286:AD295" si="402">AB286+AC286</f>
        <v>13500</v>
      </c>
      <c r="AE286" s="826">
        <f>13500*S286</f>
        <v>13500</v>
      </c>
      <c r="AF286" s="826">
        <f t="shared" ref="AF286:AF295" si="403">AE286-AB286</f>
        <v>5269.2775000000001</v>
      </c>
      <c r="AG286" s="827">
        <f t="shared" ref="AG286:AG295" si="404">6700*S286</f>
        <v>6700</v>
      </c>
      <c r="AH286" s="826"/>
      <c r="AI286" s="828">
        <f t="shared" ref="AI286:AI295" si="405">G286*S286</f>
        <v>5005</v>
      </c>
      <c r="AJ286" s="828">
        <f t="shared" ref="AJ286:AJ295" si="406">G286*T286</f>
        <v>0</v>
      </c>
      <c r="AK286" s="828">
        <f t="shared" ref="AK286:AK294" si="407">R286*S286</f>
        <v>6331.3249999999998</v>
      </c>
      <c r="AL286" s="828">
        <f t="shared" ref="AL286:AL294" si="408">R286*T286</f>
        <v>0</v>
      </c>
      <c r="AM286" s="828">
        <f t="shared" ref="AM286:AN295" si="409">AK286-AI286</f>
        <v>1326.3249999999998</v>
      </c>
      <c r="AN286" s="828">
        <f t="shared" si="409"/>
        <v>0</v>
      </c>
      <c r="AO286" s="830">
        <f t="shared" ref="AO286:AO294" si="410">Z286*S286</f>
        <v>1899.3974999999998</v>
      </c>
      <c r="AP286" s="830">
        <f t="shared" ref="AP286:AP294" si="411">Z286*T286</f>
        <v>0</v>
      </c>
      <c r="AQ286" s="830">
        <f t="shared" ref="AQ286:AQ294" si="412">AA286</f>
        <v>0</v>
      </c>
      <c r="AR286" s="830">
        <f t="shared" ref="AR286:AR294" si="413">W286*S286</f>
        <v>0</v>
      </c>
      <c r="AS286" s="830">
        <f t="shared" ref="AS286:AS294" si="414">W286*T286</f>
        <v>0</v>
      </c>
      <c r="AT286" s="835">
        <f t="shared" si="376"/>
        <v>6331.3249999999998</v>
      </c>
      <c r="AU286" s="835">
        <f t="shared" si="377"/>
        <v>0</v>
      </c>
      <c r="AV286" s="828"/>
      <c r="AW286" s="944">
        <f t="shared" ref="AW286:AW295" si="415">AT286+AU286-AV286</f>
        <v>6331.3249999999998</v>
      </c>
    </row>
    <row r="287" spans="2:55" s="196" customFormat="1" ht="63">
      <c r="B287" s="770"/>
      <c r="C287" s="819" t="s">
        <v>1345</v>
      </c>
      <c r="D287" s="820" t="s">
        <v>1679</v>
      </c>
      <c r="E287" s="770" t="s">
        <v>1399</v>
      </c>
      <c r="F287" s="770">
        <v>10</v>
      </c>
      <c r="G287" s="821">
        <v>5265</v>
      </c>
      <c r="H287" s="821"/>
      <c r="I287" s="821"/>
      <c r="J287" s="821"/>
      <c r="K287" s="821"/>
      <c r="L287" s="821"/>
      <c r="M287" s="821"/>
      <c r="N287" s="821"/>
      <c r="O287" s="824">
        <v>0.15</v>
      </c>
      <c r="P287" s="821">
        <f t="shared" ref="P287:P295" si="416">(G287+I287)*O287</f>
        <v>789.75</v>
      </c>
      <c r="Q287" s="821"/>
      <c r="R287" s="821">
        <f t="shared" ref="R287:R295" si="417">G287+I287+K287+L287+N287+P287+Q287</f>
        <v>6054.75</v>
      </c>
      <c r="S287" s="821">
        <v>1</v>
      </c>
      <c r="T287" s="831"/>
      <c r="U287" s="831"/>
      <c r="V287" s="831"/>
      <c r="W287" s="831"/>
      <c r="X287" s="770">
        <v>32</v>
      </c>
      <c r="Y287" s="824">
        <v>0.3</v>
      </c>
      <c r="Z287" s="821">
        <f t="shared" ref="Z287:Z295" si="418">R287*Y287</f>
        <v>1816.425</v>
      </c>
      <c r="AA287" s="821"/>
      <c r="AB287" s="821">
        <f>(R287+Z287)*S287</f>
        <v>7871.1750000000002</v>
      </c>
      <c r="AC287" s="825">
        <f t="shared" si="401"/>
        <v>5628.8249999999998</v>
      </c>
      <c r="AD287" s="825">
        <f t="shared" si="402"/>
        <v>13500</v>
      </c>
      <c r="AE287" s="826">
        <f>13500*S287</f>
        <v>13500</v>
      </c>
      <c r="AF287" s="826">
        <f t="shared" si="403"/>
        <v>5628.8249999999998</v>
      </c>
      <c r="AG287" s="827">
        <f t="shared" si="404"/>
        <v>6700</v>
      </c>
      <c r="AH287" s="826"/>
      <c r="AI287" s="828">
        <f t="shared" si="405"/>
        <v>5265</v>
      </c>
      <c r="AJ287" s="828">
        <f t="shared" si="406"/>
        <v>0</v>
      </c>
      <c r="AK287" s="828">
        <f t="shared" si="407"/>
        <v>6054.75</v>
      </c>
      <c r="AL287" s="828">
        <f t="shared" si="408"/>
        <v>0</v>
      </c>
      <c r="AM287" s="828">
        <f t="shared" si="409"/>
        <v>789.75</v>
      </c>
      <c r="AN287" s="828">
        <f t="shared" si="409"/>
        <v>0</v>
      </c>
      <c r="AO287" s="830">
        <f t="shared" si="410"/>
        <v>1816.425</v>
      </c>
      <c r="AP287" s="830">
        <f t="shared" si="411"/>
        <v>0</v>
      </c>
      <c r="AQ287" s="830">
        <f t="shared" si="412"/>
        <v>0</v>
      </c>
      <c r="AR287" s="830">
        <f t="shared" si="413"/>
        <v>0</v>
      </c>
      <c r="AS287" s="830">
        <f t="shared" si="414"/>
        <v>0</v>
      </c>
      <c r="AT287" s="835">
        <f t="shared" si="376"/>
        <v>6054.75</v>
      </c>
      <c r="AU287" s="835">
        <f t="shared" si="377"/>
        <v>0</v>
      </c>
      <c r="AV287" s="828"/>
      <c r="AW287" s="944">
        <f t="shared" si="415"/>
        <v>6054.75</v>
      </c>
    </row>
    <row r="288" spans="2:55" s="196" customFormat="1" ht="87.75">
      <c r="B288" s="770"/>
      <c r="C288" s="819" t="s">
        <v>1345</v>
      </c>
      <c r="D288" s="820" t="s">
        <v>793</v>
      </c>
      <c r="E288" s="770" t="s">
        <v>1400</v>
      </c>
      <c r="F288" s="770">
        <v>10</v>
      </c>
      <c r="G288" s="821">
        <v>5265</v>
      </c>
      <c r="H288" s="821"/>
      <c r="I288" s="821"/>
      <c r="J288" s="821"/>
      <c r="K288" s="821"/>
      <c r="L288" s="821"/>
      <c r="M288" s="821"/>
      <c r="N288" s="821"/>
      <c r="O288" s="824">
        <v>0.15</v>
      </c>
      <c r="P288" s="821">
        <f t="shared" si="416"/>
        <v>789.75</v>
      </c>
      <c r="Q288" s="821"/>
      <c r="R288" s="821">
        <f t="shared" si="417"/>
        <v>6054.75</v>
      </c>
      <c r="S288" s="821">
        <v>1</v>
      </c>
      <c r="T288" s="821"/>
      <c r="U288" s="821"/>
      <c r="V288" s="821"/>
      <c r="W288" s="821"/>
      <c r="X288" s="770">
        <v>35</v>
      </c>
      <c r="Y288" s="824">
        <v>0.3</v>
      </c>
      <c r="Z288" s="821">
        <f t="shared" si="418"/>
        <v>1816.425</v>
      </c>
      <c r="AA288" s="821"/>
      <c r="AB288" s="821">
        <f>(R288+Z288)*S288</f>
        <v>7871.1750000000002</v>
      </c>
      <c r="AC288" s="825">
        <f t="shared" si="401"/>
        <v>5628.8249999999998</v>
      </c>
      <c r="AD288" s="825">
        <f t="shared" si="402"/>
        <v>13500</v>
      </c>
      <c r="AE288" s="826">
        <f t="shared" ref="AE288:AE295" si="419">13500*S288</f>
        <v>13500</v>
      </c>
      <c r="AF288" s="826">
        <f t="shared" si="403"/>
        <v>5628.8249999999998</v>
      </c>
      <c r="AG288" s="827">
        <f t="shared" si="404"/>
        <v>6700</v>
      </c>
      <c r="AH288" s="826"/>
      <c r="AI288" s="828">
        <f t="shared" si="405"/>
        <v>5265</v>
      </c>
      <c r="AJ288" s="828">
        <f t="shared" si="406"/>
        <v>0</v>
      </c>
      <c r="AK288" s="828">
        <f t="shared" si="407"/>
        <v>6054.75</v>
      </c>
      <c r="AL288" s="828">
        <f t="shared" si="408"/>
        <v>0</v>
      </c>
      <c r="AM288" s="828">
        <f t="shared" si="409"/>
        <v>789.75</v>
      </c>
      <c r="AN288" s="828">
        <f t="shared" si="409"/>
        <v>0</v>
      </c>
      <c r="AO288" s="830">
        <f t="shared" si="410"/>
        <v>1816.425</v>
      </c>
      <c r="AP288" s="830">
        <f t="shared" si="411"/>
        <v>0</v>
      </c>
      <c r="AQ288" s="830">
        <f t="shared" si="412"/>
        <v>0</v>
      </c>
      <c r="AR288" s="830">
        <f t="shared" si="413"/>
        <v>0</v>
      </c>
      <c r="AS288" s="830">
        <f t="shared" si="414"/>
        <v>0</v>
      </c>
      <c r="AT288" s="835">
        <f t="shared" si="376"/>
        <v>6054.75</v>
      </c>
      <c r="AU288" s="835">
        <f t="shared" si="377"/>
        <v>0</v>
      </c>
      <c r="AV288" s="828"/>
      <c r="AW288" s="944">
        <f t="shared" si="415"/>
        <v>6054.75</v>
      </c>
      <c r="AX288" s="198"/>
      <c r="AY288" s="198"/>
      <c r="AZ288" s="198"/>
      <c r="BA288" s="198"/>
    </row>
    <row r="289" spans="2:53" s="196" customFormat="1" ht="87.75">
      <c r="B289" s="770"/>
      <c r="C289" s="819" t="s">
        <v>1345</v>
      </c>
      <c r="D289" s="820" t="s">
        <v>583</v>
      </c>
      <c r="E289" s="770" t="s">
        <v>1346</v>
      </c>
      <c r="F289" s="770">
        <v>10</v>
      </c>
      <c r="G289" s="821">
        <v>5265</v>
      </c>
      <c r="H289" s="821"/>
      <c r="I289" s="821"/>
      <c r="J289" s="821"/>
      <c r="K289" s="821"/>
      <c r="L289" s="821"/>
      <c r="M289" s="821"/>
      <c r="N289" s="821"/>
      <c r="O289" s="824">
        <v>0.15</v>
      </c>
      <c r="P289" s="821">
        <f t="shared" si="416"/>
        <v>789.75</v>
      </c>
      <c r="Q289" s="821"/>
      <c r="R289" s="821">
        <f t="shared" si="417"/>
        <v>6054.75</v>
      </c>
      <c r="S289" s="821">
        <v>1</v>
      </c>
      <c r="T289" s="821"/>
      <c r="U289" s="821"/>
      <c r="V289" s="821"/>
      <c r="W289" s="821"/>
      <c r="X289" s="770">
        <v>28</v>
      </c>
      <c r="Y289" s="824">
        <v>0.3</v>
      </c>
      <c r="Z289" s="821">
        <f t="shared" si="418"/>
        <v>1816.425</v>
      </c>
      <c r="AA289" s="821"/>
      <c r="AB289" s="821">
        <f t="shared" ref="AB289:AB295" si="420">(R289+Z289)*S289+AA289</f>
        <v>7871.1750000000002</v>
      </c>
      <c r="AC289" s="825">
        <f t="shared" si="401"/>
        <v>5628.8249999999998</v>
      </c>
      <c r="AD289" s="825">
        <f t="shared" si="402"/>
        <v>13500</v>
      </c>
      <c r="AE289" s="826">
        <f t="shared" si="419"/>
        <v>13500</v>
      </c>
      <c r="AF289" s="826">
        <f t="shared" si="403"/>
        <v>5628.8249999999998</v>
      </c>
      <c r="AG289" s="827">
        <f t="shared" si="404"/>
        <v>6700</v>
      </c>
      <c r="AH289" s="826"/>
      <c r="AI289" s="828">
        <f t="shared" si="405"/>
        <v>5265</v>
      </c>
      <c r="AJ289" s="828">
        <f t="shared" si="406"/>
        <v>0</v>
      </c>
      <c r="AK289" s="828">
        <f t="shared" si="407"/>
        <v>6054.75</v>
      </c>
      <c r="AL289" s="828">
        <f t="shared" si="408"/>
        <v>0</v>
      </c>
      <c r="AM289" s="828">
        <f t="shared" si="409"/>
        <v>789.75</v>
      </c>
      <c r="AN289" s="828">
        <f t="shared" si="409"/>
        <v>0</v>
      </c>
      <c r="AO289" s="830">
        <f t="shared" si="410"/>
        <v>1816.425</v>
      </c>
      <c r="AP289" s="830">
        <f t="shared" si="411"/>
        <v>0</v>
      </c>
      <c r="AQ289" s="830">
        <f t="shared" si="412"/>
        <v>0</v>
      </c>
      <c r="AR289" s="830">
        <f t="shared" si="413"/>
        <v>0</v>
      </c>
      <c r="AS289" s="830">
        <f t="shared" si="414"/>
        <v>0</v>
      </c>
      <c r="AT289" s="835">
        <f t="shared" si="376"/>
        <v>6054.75</v>
      </c>
      <c r="AU289" s="835">
        <f t="shared" si="377"/>
        <v>0</v>
      </c>
      <c r="AV289" s="828"/>
      <c r="AW289" s="944">
        <f t="shared" si="415"/>
        <v>6054.75</v>
      </c>
      <c r="AX289" s="198"/>
      <c r="AY289" s="198"/>
      <c r="AZ289" s="198"/>
      <c r="BA289" s="198"/>
    </row>
    <row r="290" spans="2:53" s="196" customFormat="1" ht="87.75">
      <c r="B290" s="770"/>
      <c r="C290" s="819" t="s">
        <v>1345</v>
      </c>
      <c r="D290" s="820" t="s">
        <v>583</v>
      </c>
      <c r="E290" s="770" t="s">
        <v>1401</v>
      </c>
      <c r="F290" s="770">
        <v>10</v>
      </c>
      <c r="G290" s="821">
        <v>5265</v>
      </c>
      <c r="H290" s="821"/>
      <c r="I290" s="821"/>
      <c r="J290" s="821"/>
      <c r="K290" s="821"/>
      <c r="L290" s="821"/>
      <c r="M290" s="821"/>
      <c r="N290" s="821"/>
      <c r="O290" s="824">
        <v>0.15</v>
      </c>
      <c r="P290" s="821">
        <f t="shared" si="416"/>
        <v>789.75</v>
      </c>
      <c r="Q290" s="831"/>
      <c r="R290" s="821">
        <f t="shared" si="417"/>
        <v>6054.75</v>
      </c>
      <c r="S290" s="821">
        <v>1</v>
      </c>
      <c r="T290" s="821"/>
      <c r="U290" s="831"/>
      <c r="V290" s="831"/>
      <c r="W290" s="831"/>
      <c r="X290" s="770">
        <v>34</v>
      </c>
      <c r="Y290" s="824">
        <v>0.3</v>
      </c>
      <c r="Z290" s="821">
        <f t="shared" si="418"/>
        <v>1816.425</v>
      </c>
      <c r="AA290" s="821"/>
      <c r="AB290" s="821">
        <f t="shared" si="420"/>
        <v>7871.1750000000002</v>
      </c>
      <c r="AC290" s="825">
        <f t="shared" si="401"/>
        <v>5628.8249999999998</v>
      </c>
      <c r="AD290" s="825">
        <f t="shared" si="402"/>
        <v>13500</v>
      </c>
      <c r="AE290" s="826">
        <f t="shared" si="419"/>
        <v>13500</v>
      </c>
      <c r="AF290" s="826">
        <f t="shared" si="403"/>
        <v>5628.8249999999998</v>
      </c>
      <c r="AG290" s="827">
        <f t="shared" si="404"/>
        <v>6700</v>
      </c>
      <c r="AH290" s="826"/>
      <c r="AI290" s="828">
        <f t="shared" si="405"/>
        <v>5265</v>
      </c>
      <c r="AJ290" s="828">
        <f t="shared" si="406"/>
        <v>0</v>
      </c>
      <c r="AK290" s="828">
        <f t="shared" si="407"/>
        <v>6054.75</v>
      </c>
      <c r="AL290" s="828">
        <f t="shared" si="408"/>
        <v>0</v>
      </c>
      <c r="AM290" s="828">
        <f t="shared" si="409"/>
        <v>789.75</v>
      </c>
      <c r="AN290" s="828">
        <f t="shared" si="409"/>
        <v>0</v>
      </c>
      <c r="AO290" s="830">
        <f t="shared" si="410"/>
        <v>1816.425</v>
      </c>
      <c r="AP290" s="830">
        <f t="shared" si="411"/>
        <v>0</v>
      </c>
      <c r="AQ290" s="830">
        <f t="shared" si="412"/>
        <v>0</v>
      </c>
      <c r="AR290" s="830">
        <f t="shared" si="413"/>
        <v>0</v>
      </c>
      <c r="AS290" s="830">
        <f t="shared" si="414"/>
        <v>0</v>
      </c>
      <c r="AT290" s="835">
        <f t="shared" si="376"/>
        <v>6054.75</v>
      </c>
      <c r="AU290" s="835">
        <f t="shared" si="377"/>
        <v>0</v>
      </c>
      <c r="AV290" s="828"/>
      <c r="AW290" s="944">
        <f t="shared" si="415"/>
        <v>6054.75</v>
      </c>
      <c r="AX290" s="198"/>
      <c r="AY290" s="198"/>
      <c r="AZ290" s="198"/>
      <c r="BA290" s="198"/>
    </row>
    <row r="291" spans="2:53" s="196" customFormat="1" ht="74.25" customHeight="1">
      <c r="B291" s="770"/>
      <c r="C291" s="819" t="s">
        <v>1306</v>
      </c>
      <c r="D291" s="820" t="s">
        <v>794</v>
      </c>
      <c r="E291" s="770" t="s">
        <v>1674</v>
      </c>
      <c r="F291" s="770">
        <v>8</v>
      </c>
      <c r="G291" s="821">
        <v>4745</v>
      </c>
      <c r="H291" s="821"/>
      <c r="I291" s="821"/>
      <c r="J291" s="821"/>
      <c r="K291" s="821"/>
      <c r="L291" s="821"/>
      <c r="M291" s="821"/>
      <c r="N291" s="821"/>
      <c r="O291" s="824">
        <v>0.15</v>
      </c>
      <c r="P291" s="821">
        <f t="shared" si="416"/>
        <v>711.75</v>
      </c>
      <c r="Q291" s="821"/>
      <c r="R291" s="821">
        <f t="shared" si="417"/>
        <v>5456.75</v>
      </c>
      <c r="S291" s="821">
        <v>1</v>
      </c>
      <c r="T291" s="821"/>
      <c r="U291" s="821"/>
      <c r="V291" s="821"/>
      <c r="W291" s="821"/>
      <c r="X291" s="770">
        <v>14</v>
      </c>
      <c r="Y291" s="824">
        <v>0.2</v>
      </c>
      <c r="Z291" s="821">
        <f t="shared" si="418"/>
        <v>1091.3500000000001</v>
      </c>
      <c r="AA291" s="821">
        <f>AH291</f>
        <v>151.89999999999986</v>
      </c>
      <c r="AB291" s="821">
        <f t="shared" si="420"/>
        <v>6700</v>
      </c>
      <c r="AC291" s="825">
        <f t="shared" si="401"/>
        <v>6800</v>
      </c>
      <c r="AD291" s="825">
        <f t="shared" si="402"/>
        <v>13500</v>
      </c>
      <c r="AE291" s="826">
        <f t="shared" si="419"/>
        <v>13500</v>
      </c>
      <c r="AF291" s="826">
        <f t="shared" si="403"/>
        <v>6800</v>
      </c>
      <c r="AG291" s="827">
        <f t="shared" si="404"/>
        <v>6700</v>
      </c>
      <c r="AH291" s="826">
        <f>AG291-(R291*S291)-Z291</f>
        <v>151.89999999999986</v>
      </c>
      <c r="AI291" s="828">
        <f t="shared" si="405"/>
        <v>4745</v>
      </c>
      <c r="AJ291" s="828">
        <f t="shared" si="406"/>
        <v>0</v>
      </c>
      <c r="AK291" s="828">
        <f t="shared" si="407"/>
        <v>5456.75</v>
      </c>
      <c r="AL291" s="828">
        <f t="shared" si="408"/>
        <v>0</v>
      </c>
      <c r="AM291" s="828">
        <f t="shared" si="409"/>
        <v>711.75</v>
      </c>
      <c r="AN291" s="828">
        <f t="shared" si="409"/>
        <v>0</v>
      </c>
      <c r="AO291" s="830">
        <f t="shared" si="410"/>
        <v>1091.3500000000001</v>
      </c>
      <c r="AP291" s="830">
        <f t="shared" si="411"/>
        <v>0</v>
      </c>
      <c r="AQ291" s="830">
        <f t="shared" si="412"/>
        <v>151.89999999999986</v>
      </c>
      <c r="AR291" s="830">
        <f t="shared" si="413"/>
        <v>0</v>
      </c>
      <c r="AS291" s="830">
        <f t="shared" si="414"/>
        <v>0</v>
      </c>
      <c r="AT291" s="835">
        <f t="shared" si="376"/>
        <v>5456.75</v>
      </c>
      <c r="AU291" s="835">
        <f t="shared" si="377"/>
        <v>0</v>
      </c>
      <c r="AV291" s="828"/>
      <c r="AW291" s="944">
        <f t="shared" si="415"/>
        <v>5456.75</v>
      </c>
    </row>
    <row r="292" spans="2:53" s="196" customFormat="1" ht="58.5">
      <c r="B292" s="770"/>
      <c r="C292" s="819" t="s">
        <v>1306</v>
      </c>
      <c r="D292" s="820" t="s">
        <v>1354</v>
      </c>
      <c r="E292" s="770" t="s">
        <v>1398</v>
      </c>
      <c r="F292" s="770">
        <v>9</v>
      </c>
      <c r="G292" s="821">
        <v>5005</v>
      </c>
      <c r="H292" s="821"/>
      <c r="I292" s="821"/>
      <c r="J292" s="821"/>
      <c r="K292" s="821"/>
      <c r="L292" s="821"/>
      <c r="M292" s="821"/>
      <c r="N292" s="821"/>
      <c r="O292" s="824">
        <v>0.15</v>
      </c>
      <c r="P292" s="821">
        <f t="shared" si="416"/>
        <v>750.75</v>
      </c>
      <c r="Q292" s="831"/>
      <c r="R292" s="821">
        <f t="shared" si="417"/>
        <v>5755.75</v>
      </c>
      <c r="S292" s="821">
        <v>1</v>
      </c>
      <c r="T292" s="821"/>
      <c r="U292" s="831"/>
      <c r="V292" s="831"/>
      <c r="W292" s="831"/>
      <c r="X292" s="770">
        <v>25</v>
      </c>
      <c r="Y292" s="824">
        <v>0.3</v>
      </c>
      <c r="Z292" s="821">
        <f t="shared" si="418"/>
        <v>1726.7249999999999</v>
      </c>
      <c r="AA292" s="821"/>
      <c r="AB292" s="821">
        <f t="shared" si="420"/>
        <v>7482.4750000000004</v>
      </c>
      <c r="AC292" s="825">
        <f t="shared" si="401"/>
        <v>6017.5249999999996</v>
      </c>
      <c r="AD292" s="825">
        <f t="shared" si="402"/>
        <v>13500</v>
      </c>
      <c r="AE292" s="826">
        <f t="shared" si="419"/>
        <v>13500</v>
      </c>
      <c r="AF292" s="826">
        <f t="shared" si="403"/>
        <v>6017.5249999999996</v>
      </c>
      <c r="AG292" s="827">
        <f t="shared" si="404"/>
        <v>6700</v>
      </c>
      <c r="AH292" s="826"/>
      <c r="AI292" s="828">
        <f t="shared" si="405"/>
        <v>5005</v>
      </c>
      <c r="AJ292" s="828">
        <f t="shared" si="406"/>
        <v>0</v>
      </c>
      <c r="AK292" s="828">
        <f t="shared" si="407"/>
        <v>5755.75</v>
      </c>
      <c r="AL292" s="828">
        <f t="shared" si="408"/>
        <v>0</v>
      </c>
      <c r="AM292" s="828">
        <f t="shared" si="409"/>
        <v>750.75</v>
      </c>
      <c r="AN292" s="828">
        <f t="shared" si="409"/>
        <v>0</v>
      </c>
      <c r="AO292" s="830">
        <f t="shared" si="410"/>
        <v>1726.7249999999999</v>
      </c>
      <c r="AP292" s="830">
        <f t="shared" si="411"/>
        <v>0</v>
      </c>
      <c r="AQ292" s="830">
        <f t="shared" si="412"/>
        <v>0</v>
      </c>
      <c r="AR292" s="830">
        <f t="shared" si="413"/>
        <v>0</v>
      </c>
      <c r="AS292" s="830">
        <f t="shared" si="414"/>
        <v>0</v>
      </c>
      <c r="AT292" s="835">
        <f t="shared" si="376"/>
        <v>5755.75</v>
      </c>
      <c r="AU292" s="835">
        <f t="shared" si="377"/>
        <v>0</v>
      </c>
      <c r="AV292" s="828"/>
      <c r="AW292" s="944">
        <f t="shared" si="415"/>
        <v>5755.75</v>
      </c>
      <c r="AX292" s="198"/>
      <c r="AY292" s="198"/>
      <c r="AZ292" s="198"/>
      <c r="BA292" s="198"/>
    </row>
    <row r="293" spans="2:53" s="196" customFormat="1" ht="58.5">
      <c r="B293" s="770"/>
      <c r="C293" s="819" t="s">
        <v>1306</v>
      </c>
      <c r="D293" s="820" t="s">
        <v>1313</v>
      </c>
      <c r="E293" s="770" t="s">
        <v>1397</v>
      </c>
      <c r="F293" s="770">
        <v>9</v>
      </c>
      <c r="G293" s="821">
        <v>5005</v>
      </c>
      <c r="H293" s="821"/>
      <c r="I293" s="821"/>
      <c r="J293" s="821"/>
      <c r="K293" s="821"/>
      <c r="L293" s="821"/>
      <c r="M293" s="821"/>
      <c r="N293" s="821"/>
      <c r="O293" s="824">
        <v>0.15</v>
      </c>
      <c r="P293" s="821">
        <f t="shared" si="416"/>
        <v>750.75</v>
      </c>
      <c r="Q293" s="821"/>
      <c r="R293" s="821">
        <f t="shared" si="417"/>
        <v>5755.75</v>
      </c>
      <c r="S293" s="821">
        <v>1</v>
      </c>
      <c r="T293" s="821"/>
      <c r="U293" s="821"/>
      <c r="V293" s="821"/>
      <c r="W293" s="821"/>
      <c r="X293" s="770">
        <v>27</v>
      </c>
      <c r="Y293" s="824">
        <v>0.3</v>
      </c>
      <c r="Z293" s="821">
        <f t="shared" si="418"/>
        <v>1726.7249999999999</v>
      </c>
      <c r="AA293" s="821"/>
      <c r="AB293" s="821">
        <f t="shared" si="420"/>
        <v>7482.4750000000004</v>
      </c>
      <c r="AC293" s="825">
        <f t="shared" si="401"/>
        <v>6017.5249999999996</v>
      </c>
      <c r="AD293" s="825">
        <f t="shared" si="402"/>
        <v>13500</v>
      </c>
      <c r="AE293" s="826">
        <f t="shared" si="419"/>
        <v>13500</v>
      </c>
      <c r="AF293" s="826">
        <f t="shared" si="403"/>
        <v>6017.5249999999996</v>
      </c>
      <c r="AG293" s="827">
        <f t="shared" si="404"/>
        <v>6700</v>
      </c>
      <c r="AH293" s="826"/>
      <c r="AI293" s="828">
        <f t="shared" si="405"/>
        <v>5005</v>
      </c>
      <c r="AJ293" s="828">
        <f t="shared" si="406"/>
        <v>0</v>
      </c>
      <c r="AK293" s="828">
        <f t="shared" si="407"/>
        <v>5755.75</v>
      </c>
      <c r="AL293" s="828">
        <f t="shared" si="408"/>
        <v>0</v>
      </c>
      <c r="AM293" s="828">
        <f t="shared" si="409"/>
        <v>750.75</v>
      </c>
      <c r="AN293" s="828">
        <f t="shared" si="409"/>
        <v>0</v>
      </c>
      <c r="AO293" s="830">
        <f t="shared" si="410"/>
        <v>1726.7249999999999</v>
      </c>
      <c r="AP293" s="830">
        <f t="shared" si="411"/>
        <v>0</v>
      </c>
      <c r="AQ293" s="830">
        <f t="shared" si="412"/>
        <v>0</v>
      </c>
      <c r="AR293" s="830">
        <f t="shared" si="413"/>
        <v>0</v>
      </c>
      <c r="AS293" s="830">
        <f t="shared" si="414"/>
        <v>0</v>
      </c>
      <c r="AT293" s="835">
        <f t="shared" si="376"/>
        <v>5755.75</v>
      </c>
      <c r="AU293" s="835">
        <f t="shared" si="377"/>
        <v>0</v>
      </c>
      <c r="AV293" s="828"/>
      <c r="AW293" s="944">
        <f t="shared" si="415"/>
        <v>5755.75</v>
      </c>
      <c r="AX293" s="198"/>
      <c r="AY293" s="198"/>
      <c r="AZ293" s="198"/>
      <c r="BA293" s="198"/>
    </row>
    <row r="294" spans="2:53" s="196" customFormat="1" ht="58.5">
      <c r="B294" s="770"/>
      <c r="C294" s="819" t="s">
        <v>1306</v>
      </c>
      <c r="D294" s="820" t="s">
        <v>584</v>
      </c>
      <c r="E294" s="770" t="s">
        <v>1373</v>
      </c>
      <c r="F294" s="770">
        <v>8</v>
      </c>
      <c r="G294" s="821">
        <v>4745</v>
      </c>
      <c r="H294" s="821"/>
      <c r="I294" s="821"/>
      <c r="J294" s="821"/>
      <c r="K294" s="821"/>
      <c r="L294" s="821"/>
      <c r="M294" s="821"/>
      <c r="N294" s="821"/>
      <c r="O294" s="824">
        <v>0.15</v>
      </c>
      <c r="P294" s="821">
        <f t="shared" si="416"/>
        <v>711.75</v>
      </c>
      <c r="Q294" s="821"/>
      <c r="R294" s="821">
        <f t="shared" si="417"/>
        <v>5456.75</v>
      </c>
      <c r="S294" s="821">
        <v>1</v>
      </c>
      <c r="T294" s="821"/>
      <c r="U294" s="821"/>
      <c r="V294" s="821"/>
      <c r="W294" s="821"/>
      <c r="X294" s="770">
        <v>12</v>
      </c>
      <c r="Y294" s="824">
        <v>0.2</v>
      </c>
      <c r="Z294" s="821">
        <f t="shared" si="418"/>
        <v>1091.3500000000001</v>
      </c>
      <c r="AA294" s="821">
        <f>AH294</f>
        <v>151.89999999999986</v>
      </c>
      <c r="AB294" s="821">
        <f t="shared" si="420"/>
        <v>6700</v>
      </c>
      <c r="AC294" s="825">
        <f t="shared" si="401"/>
        <v>6800</v>
      </c>
      <c r="AD294" s="825">
        <f t="shared" si="402"/>
        <v>13500</v>
      </c>
      <c r="AE294" s="826">
        <f t="shared" si="419"/>
        <v>13500</v>
      </c>
      <c r="AF294" s="826">
        <f t="shared" si="403"/>
        <v>6800</v>
      </c>
      <c r="AG294" s="827">
        <f t="shared" si="404"/>
        <v>6700</v>
      </c>
      <c r="AH294" s="826">
        <f>AG294-(R294*S294)-Z294</f>
        <v>151.89999999999986</v>
      </c>
      <c r="AI294" s="828">
        <f t="shared" si="405"/>
        <v>4745</v>
      </c>
      <c r="AJ294" s="828">
        <f t="shared" si="406"/>
        <v>0</v>
      </c>
      <c r="AK294" s="828">
        <f t="shared" si="407"/>
        <v>5456.75</v>
      </c>
      <c r="AL294" s="828">
        <f t="shared" si="408"/>
        <v>0</v>
      </c>
      <c r="AM294" s="828">
        <f t="shared" si="409"/>
        <v>711.75</v>
      </c>
      <c r="AN294" s="828">
        <f t="shared" si="409"/>
        <v>0</v>
      </c>
      <c r="AO294" s="830">
        <f t="shared" si="410"/>
        <v>1091.3500000000001</v>
      </c>
      <c r="AP294" s="830">
        <f t="shared" si="411"/>
        <v>0</v>
      </c>
      <c r="AQ294" s="830">
        <f t="shared" si="412"/>
        <v>151.89999999999986</v>
      </c>
      <c r="AR294" s="830">
        <f t="shared" si="413"/>
        <v>0</v>
      </c>
      <c r="AS294" s="830">
        <f t="shared" si="414"/>
        <v>0</v>
      </c>
      <c r="AT294" s="835">
        <f t="shared" si="376"/>
        <v>5456.75</v>
      </c>
      <c r="AU294" s="835">
        <f t="shared" si="377"/>
        <v>0</v>
      </c>
      <c r="AV294" s="828"/>
      <c r="AW294" s="944">
        <f t="shared" si="415"/>
        <v>5456.75</v>
      </c>
      <c r="AX294" s="199"/>
      <c r="AY294" s="199"/>
      <c r="AZ294" s="199"/>
      <c r="BA294" s="199"/>
    </row>
    <row r="295" spans="2:53" s="196" customFormat="1" ht="58.5">
      <c r="B295" s="770"/>
      <c r="C295" s="819" t="s">
        <v>1306</v>
      </c>
      <c r="D295" s="820" t="s">
        <v>1350</v>
      </c>
      <c r="E295" s="770" t="s">
        <v>1361</v>
      </c>
      <c r="F295" s="770">
        <v>9</v>
      </c>
      <c r="G295" s="821">
        <v>5005</v>
      </c>
      <c r="H295" s="821"/>
      <c r="I295" s="821"/>
      <c r="J295" s="821"/>
      <c r="K295" s="821"/>
      <c r="L295" s="821"/>
      <c r="M295" s="821"/>
      <c r="N295" s="821"/>
      <c r="O295" s="824">
        <v>0.15</v>
      </c>
      <c r="P295" s="821">
        <f t="shared" si="416"/>
        <v>750.75</v>
      </c>
      <c r="Q295" s="821"/>
      <c r="R295" s="821">
        <f t="shared" si="417"/>
        <v>5755.75</v>
      </c>
      <c r="S295" s="821">
        <v>1</v>
      </c>
      <c r="T295" s="821"/>
      <c r="U295" s="821"/>
      <c r="V295" s="821"/>
      <c r="W295" s="821"/>
      <c r="X295" s="770">
        <v>28</v>
      </c>
      <c r="Y295" s="824">
        <v>0.3</v>
      </c>
      <c r="Z295" s="821">
        <f t="shared" si="418"/>
        <v>1726.7249999999999</v>
      </c>
      <c r="AA295" s="821"/>
      <c r="AB295" s="821">
        <f t="shared" si="420"/>
        <v>7482.4750000000004</v>
      </c>
      <c r="AC295" s="825">
        <f t="shared" si="401"/>
        <v>6017.5249999999996</v>
      </c>
      <c r="AD295" s="825">
        <f t="shared" si="402"/>
        <v>13500</v>
      </c>
      <c r="AE295" s="826">
        <f t="shared" si="419"/>
        <v>13500</v>
      </c>
      <c r="AF295" s="826">
        <f t="shared" si="403"/>
        <v>6017.5249999999996</v>
      </c>
      <c r="AG295" s="827">
        <f t="shared" si="404"/>
        <v>6700</v>
      </c>
      <c r="AH295" s="826"/>
      <c r="AI295" s="828">
        <f t="shared" si="405"/>
        <v>5005</v>
      </c>
      <c r="AJ295" s="828">
        <f t="shared" si="406"/>
        <v>0</v>
      </c>
      <c r="AK295" s="828">
        <f>R295*S295</f>
        <v>5755.75</v>
      </c>
      <c r="AL295" s="828">
        <f>R295*T295</f>
        <v>0</v>
      </c>
      <c r="AM295" s="828">
        <f t="shared" si="409"/>
        <v>750.75</v>
      </c>
      <c r="AN295" s="828">
        <f t="shared" si="409"/>
        <v>0</v>
      </c>
      <c r="AO295" s="830">
        <f>Z295*S295</f>
        <v>1726.7249999999999</v>
      </c>
      <c r="AP295" s="830">
        <f>Z295*T295</f>
        <v>0</v>
      </c>
      <c r="AQ295" s="830">
        <f>AA295</f>
        <v>0</v>
      </c>
      <c r="AR295" s="830">
        <f>W295*S295</f>
        <v>0</v>
      </c>
      <c r="AS295" s="830">
        <f>W295*T295</f>
        <v>0</v>
      </c>
      <c r="AT295" s="835">
        <f t="shared" si="376"/>
        <v>5755.75</v>
      </c>
      <c r="AU295" s="835">
        <f t="shared" si="377"/>
        <v>0</v>
      </c>
      <c r="AV295" s="828"/>
      <c r="AW295" s="944">
        <f t="shared" si="415"/>
        <v>5755.75</v>
      </c>
    </row>
    <row r="296" spans="2:53" s="196" customFormat="1" ht="31.5">
      <c r="B296" s="770"/>
      <c r="C296" s="799" t="s">
        <v>504</v>
      </c>
      <c r="D296" s="832"/>
      <c r="E296" s="812"/>
      <c r="F296" s="812"/>
      <c r="G296" s="802">
        <f>SUM(G286:G295)</f>
        <v>50570</v>
      </c>
      <c r="H296" s="813"/>
      <c r="I296" s="812"/>
      <c r="J296" s="813"/>
      <c r="K296" s="812"/>
      <c r="L296" s="812"/>
      <c r="M296" s="813"/>
      <c r="N296" s="812"/>
      <c r="O296" s="813"/>
      <c r="P296" s="802">
        <f>SUM(P286:P295)</f>
        <v>7660.5749999999998</v>
      </c>
      <c r="Q296" s="812"/>
      <c r="R296" s="802">
        <f>SUM(R286:R295)</f>
        <v>58731.074999999997</v>
      </c>
      <c r="S296" s="802">
        <f>SUM(S286:S295)</f>
        <v>10</v>
      </c>
      <c r="T296" s="802">
        <f>SUM(T286:T295)</f>
        <v>0</v>
      </c>
      <c r="U296" s="802"/>
      <c r="V296" s="802"/>
      <c r="W296" s="802"/>
      <c r="X296" s="802"/>
      <c r="Y296" s="802"/>
      <c r="Z296" s="802">
        <f>SUM(Z286:Z295)</f>
        <v>16527.9725</v>
      </c>
      <c r="AA296" s="802">
        <f>SUM(AA287:AA295)</f>
        <v>303.79999999999973</v>
      </c>
      <c r="AB296" s="802">
        <f t="shared" ref="AB296:AW296" si="421">SUM(AB286:AB295)</f>
        <v>75562.847500000003</v>
      </c>
      <c r="AC296" s="802">
        <f t="shared" si="421"/>
        <v>59437.152500000004</v>
      </c>
      <c r="AD296" s="802">
        <f t="shared" si="421"/>
        <v>135000</v>
      </c>
      <c r="AE296" s="802">
        <f t="shared" si="421"/>
        <v>135000</v>
      </c>
      <c r="AF296" s="802">
        <f t="shared" si="421"/>
        <v>59437.152500000004</v>
      </c>
      <c r="AG296" s="802">
        <f t="shared" si="421"/>
        <v>67000</v>
      </c>
      <c r="AH296" s="802">
        <f t="shared" si="421"/>
        <v>303.79999999999973</v>
      </c>
      <c r="AI296" s="802">
        <f t="shared" si="421"/>
        <v>50570</v>
      </c>
      <c r="AJ296" s="802">
        <f t="shared" si="421"/>
        <v>0</v>
      </c>
      <c r="AK296" s="802">
        <f t="shared" si="421"/>
        <v>58731.074999999997</v>
      </c>
      <c r="AL296" s="802">
        <f t="shared" si="421"/>
        <v>0</v>
      </c>
      <c r="AM296" s="802">
        <f t="shared" si="421"/>
        <v>8161.0749999999998</v>
      </c>
      <c r="AN296" s="802">
        <f t="shared" si="421"/>
        <v>0</v>
      </c>
      <c r="AO296" s="802">
        <f t="shared" si="421"/>
        <v>16527.9725</v>
      </c>
      <c r="AP296" s="802">
        <f t="shared" si="421"/>
        <v>0</v>
      </c>
      <c r="AQ296" s="802">
        <f t="shared" si="421"/>
        <v>303.79999999999973</v>
      </c>
      <c r="AR296" s="802">
        <f t="shared" si="421"/>
        <v>0</v>
      </c>
      <c r="AS296" s="802">
        <f t="shared" si="421"/>
        <v>0</v>
      </c>
      <c r="AT296" s="802">
        <f t="shared" si="421"/>
        <v>58731.074999999997</v>
      </c>
      <c r="AU296" s="802">
        <f t="shared" si="421"/>
        <v>0</v>
      </c>
      <c r="AV296" s="802">
        <f t="shared" si="421"/>
        <v>0</v>
      </c>
      <c r="AW296" s="802">
        <f t="shared" si="421"/>
        <v>58731.074999999997</v>
      </c>
    </row>
    <row r="297" spans="2:53" s="196" customFormat="1" ht="33">
      <c r="B297" s="770"/>
      <c r="C297" s="851" t="s">
        <v>802</v>
      </c>
      <c r="D297" s="832"/>
      <c r="E297" s="812"/>
      <c r="F297" s="812"/>
      <c r="G297" s="802"/>
      <c r="H297" s="875"/>
      <c r="I297" s="802"/>
      <c r="J297" s="813"/>
      <c r="K297" s="812"/>
      <c r="L297" s="812"/>
      <c r="M297" s="813"/>
      <c r="N297" s="812"/>
      <c r="O297" s="813"/>
      <c r="P297" s="812"/>
      <c r="Q297" s="812"/>
      <c r="R297" s="802"/>
      <c r="S297" s="802"/>
      <c r="T297" s="802"/>
      <c r="U297" s="802"/>
      <c r="V297" s="802"/>
      <c r="W297" s="802"/>
      <c r="X297" s="802"/>
      <c r="Y297" s="802"/>
      <c r="Z297" s="802"/>
      <c r="AA297" s="802"/>
      <c r="AB297" s="802"/>
      <c r="AC297" s="876"/>
      <c r="AD297" s="876"/>
      <c r="AE297" s="833"/>
      <c r="AF297" s="833"/>
      <c r="AG297" s="818"/>
      <c r="AH297" s="833"/>
      <c r="AI297" s="828"/>
      <c r="AJ297" s="828"/>
      <c r="AK297" s="828"/>
      <c r="AL297" s="828"/>
      <c r="AM297" s="828"/>
      <c r="AN297" s="828"/>
      <c r="AO297" s="830"/>
      <c r="AP297" s="830"/>
      <c r="AQ297" s="830"/>
      <c r="AR297" s="830"/>
      <c r="AS297" s="830"/>
      <c r="AT297" s="835"/>
      <c r="AU297" s="835"/>
      <c r="AV297" s="828"/>
      <c r="AW297" s="944"/>
    </row>
    <row r="298" spans="2:53" s="196" customFormat="1" ht="63">
      <c r="B298" s="770"/>
      <c r="C298" s="886" t="s">
        <v>595</v>
      </c>
      <c r="D298" s="820"/>
      <c r="E298" s="770" t="s">
        <v>1467</v>
      </c>
      <c r="F298" s="770">
        <v>3</v>
      </c>
      <c r="G298" s="821">
        <v>3414</v>
      </c>
      <c r="H298" s="821"/>
      <c r="I298" s="821"/>
      <c r="J298" s="821"/>
      <c r="K298" s="821"/>
      <c r="L298" s="821"/>
      <c r="M298" s="821"/>
      <c r="N298" s="821"/>
      <c r="O298" s="824">
        <v>0.15</v>
      </c>
      <c r="P298" s="829">
        <f>G298*O298</f>
        <v>512.1</v>
      </c>
      <c r="Q298" s="821"/>
      <c r="R298" s="821">
        <f>G298+I298+K298+L298+N298+P298+Q298</f>
        <v>3926.1</v>
      </c>
      <c r="S298" s="821">
        <v>1</v>
      </c>
      <c r="T298" s="831"/>
      <c r="U298" s="831"/>
      <c r="V298" s="824">
        <v>0.1</v>
      </c>
      <c r="W298" s="821">
        <f>R298*V298</f>
        <v>392.61</v>
      </c>
      <c r="X298" s="770"/>
      <c r="Y298" s="824"/>
      <c r="Z298" s="821"/>
      <c r="AA298" s="821">
        <f>AH298</f>
        <v>2773.9</v>
      </c>
      <c r="AB298" s="821">
        <f>(R298+Z298+U298+W298)*S298+AA298</f>
        <v>7092.6100000000006</v>
      </c>
      <c r="AC298" s="825">
        <f>AF298</f>
        <v>0</v>
      </c>
      <c r="AD298" s="825">
        <f>AB298+AC298</f>
        <v>7092.6100000000006</v>
      </c>
      <c r="AE298" s="826">
        <f>AB298</f>
        <v>7092.6100000000006</v>
      </c>
      <c r="AF298" s="826">
        <f>AE298-AB298</f>
        <v>0</v>
      </c>
      <c r="AG298" s="827">
        <f>6700*S298</f>
        <v>6700</v>
      </c>
      <c r="AH298" s="826">
        <f>AG298-(R298*S298)</f>
        <v>2773.9</v>
      </c>
      <c r="AI298" s="828">
        <f>G298*S298</f>
        <v>3414</v>
      </c>
      <c r="AJ298" s="828">
        <f>G298*T298</f>
        <v>0</v>
      </c>
      <c r="AK298" s="828">
        <f>R298*S298</f>
        <v>3926.1</v>
      </c>
      <c r="AL298" s="828">
        <f>R298*T298</f>
        <v>0</v>
      </c>
      <c r="AM298" s="828">
        <f t="shared" ref="AM298:AN302" si="422">AK298-AI298</f>
        <v>512.09999999999991</v>
      </c>
      <c r="AN298" s="828">
        <f t="shared" si="422"/>
        <v>0</v>
      </c>
      <c r="AO298" s="830">
        <f>Z298*S298</f>
        <v>0</v>
      </c>
      <c r="AP298" s="830">
        <f>Z298*T298</f>
        <v>0</v>
      </c>
      <c r="AQ298" s="830">
        <f>AA298</f>
        <v>2773.9</v>
      </c>
      <c r="AR298" s="830">
        <f>W298*S298</f>
        <v>392.61</v>
      </c>
      <c r="AS298" s="830">
        <f>W298*T298</f>
        <v>0</v>
      </c>
      <c r="AT298" s="835">
        <f t="shared" si="376"/>
        <v>3926.1</v>
      </c>
      <c r="AU298" s="835">
        <f t="shared" si="377"/>
        <v>0</v>
      </c>
      <c r="AV298" s="828"/>
      <c r="AW298" s="944">
        <f>AT298+AU298-AV298</f>
        <v>3926.1</v>
      </c>
      <c r="AX298" s="199"/>
    </row>
    <row r="299" spans="2:53" s="196" customFormat="1" ht="63">
      <c r="B299" s="770"/>
      <c r="C299" s="886" t="s">
        <v>595</v>
      </c>
      <c r="D299" s="820"/>
      <c r="E299" s="770" t="s">
        <v>1468</v>
      </c>
      <c r="F299" s="770">
        <v>3</v>
      </c>
      <c r="G299" s="821">
        <v>3414</v>
      </c>
      <c r="H299" s="821"/>
      <c r="I299" s="821"/>
      <c r="J299" s="821"/>
      <c r="K299" s="821"/>
      <c r="L299" s="821"/>
      <c r="M299" s="821"/>
      <c r="N299" s="821"/>
      <c r="O299" s="824">
        <v>0.15</v>
      </c>
      <c r="P299" s="829">
        <f>G299*O299</f>
        <v>512.1</v>
      </c>
      <c r="Q299" s="821"/>
      <c r="R299" s="821">
        <f>G299+I299+K299+L299+N299+P299+Q299</f>
        <v>3926.1</v>
      </c>
      <c r="S299" s="821">
        <v>1</v>
      </c>
      <c r="T299" s="821"/>
      <c r="U299" s="821"/>
      <c r="V299" s="824">
        <v>0.1</v>
      </c>
      <c r="W299" s="821">
        <f>R299*V299</f>
        <v>392.61</v>
      </c>
      <c r="X299" s="770"/>
      <c r="Y299" s="824"/>
      <c r="Z299" s="821"/>
      <c r="AA299" s="821">
        <f>AH299</f>
        <v>2773.9</v>
      </c>
      <c r="AB299" s="821">
        <f>(R299+Z299+U299+W299)*S299+AA299</f>
        <v>7092.6100000000006</v>
      </c>
      <c r="AC299" s="825">
        <f>AF299</f>
        <v>0</v>
      </c>
      <c r="AD299" s="825">
        <f>AB299+AC299</f>
        <v>7092.6100000000006</v>
      </c>
      <c r="AE299" s="826">
        <f>AB299</f>
        <v>7092.6100000000006</v>
      </c>
      <c r="AF299" s="826">
        <f>AE299-AB299</f>
        <v>0</v>
      </c>
      <c r="AG299" s="827">
        <f>6700*S299</f>
        <v>6700</v>
      </c>
      <c r="AH299" s="826">
        <f>AG299-(R299*S299)</f>
        <v>2773.9</v>
      </c>
      <c r="AI299" s="828">
        <f>G299*S299</f>
        <v>3414</v>
      </c>
      <c r="AJ299" s="828">
        <f>G299*T299</f>
        <v>0</v>
      </c>
      <c r="AK299" s="828">
        <f>R299*S299</f>
        <v>3926.1</v>
      </c>
      <c r="AL299" s="828">
        <f>R299*T299</f>
        <v>0</v>
      </c>
      <c r="AM299" s="828">
        <f t="shared" si="422"/>
        <v>512.09999999999991</v>
      </c>
      <c r="AN299" s="828">
        <f t="shared" si="422"/>
        <v>0</v>
      </c>
      <c r="AO299" s="830">
        <f>Z299*S299</f>
        <v>0</v>
      </c>
      <c r="AP299" s="830">
        <f>Z299*T299</f>
        <v>0</v>
      </c>
      <c r="AQ299" s="830">
        <f>AA299</f>
        <v>2773.9</v>
      </c>
      <c r="AR299" s="830">
        <f>W299*S299</f>
        <v>392.61</v>
      </c>
      <c r="AS299" s="830">
        <f>W299*T299</f>
        <v>0</v>
      </c>
      <c r="AT299" s="835">
        <f t="shared" si="376"/>
        <v>3926.1</v>
      </c>
      <c r="AU299" s="835">
        <f t="shared" si="377"/>
        <v>0</v>
      </c>
      <c r="AV299" s="828"/>
      <c r="AW299" s="944">
        <f>AT299+AU299-AV299</f>
        <v>3926.1</v>
      </c>
    </row>
    <row r="300" spans="2:53" s="196" customFormat="1" ht="63">
      <c r="B300" s="770"/>
      <c r="C300" s="886" t="s">
        <v>595</v>
      </c>
      <c r="D300" s="820"/>
      <c r="E300" s="770" t="s">
        <v>1469</v>
      </c>
      <c r="F300" s="770">
        <v>3</v>
      </c>
      <c r="G300" s="821">
        <v>3414</v>
      </c>
      <c r="H300" s="821"/>
      <c r="I300" s="821"/>
      <c r="J300" s="821"/>
      <c r="K300" s="821"/>
      <c r="L300" s="821"/>
      <c r="M300" s="821"/>
      <c r="N300" s="821"/>
      <c r="O300" s="824">
        <v>0.15</v>
      </c>
      <c r="P300" s="829">
        <f>G300*O300</f>
        <v>512.1</v>
      </c>
      <c r="Q300" s="821"/>
      <c r="R300" s="821">
        <f>G300+I300+K300+L300+N300+P300+Q300</f>
        <v>3926.1</v>
      </c>
      <c r="S300" s="821">
        <v>1</v>
      </c>
      <c r="T300" s="821"/>
      <c r="U300" s="821"/>
      <c r="V300" s="824">
        <v>0.1</v>
      </c>
      <c r="W300" s="821">
        <f>R300*V300</f>
        <v>392.61</v>
      </c>
      <c r="X300" s="770"/>
      <c r="Y300" s="824"/>
      <c r="Z300" s="821"/>
      <c r="AA300" s="821">
        <f>AH300</f>
        <v>2773.9</v>
      </c>
      <c r="AB300" s="821">
        <f>(R300+Z300+U300+W300)*S300+AA300</f>
        <v>7092.6100000000006</v>
      </c>
      <c r="AC300" s="825">
        <f>AF300</f>
        <v>0</v>
      </c>
      <c r="AD300" s="825">
        <f>AB300+AC300</f>
        <v>7092.6100000000006</v>
      </c>
      <c r="AE300" s="826">
        <f>AB300</f>
        <v>7092.6100000000006</v>
      </c>
      <c r="AF300" s="826">
        <f>AE300-AB300</f>
        <v>0</v>
      </c>
      <c r="AG300" s="827">
        <f>6700*S300</f>
        <v>6700</v>
      </c>
      <c r="AH300" s="826">
        <f>AG300-(R300*S300)</f>
        <v>2773.9</v>
      </c>
      <c r="AI300" s="828">
        <f>G300*S300</f>
        <v>3414</v>
      </c>
      <c r="AJ300" s="828">
        <f>G300*T300</f>
        <v>0</v>
      </c>
      <c r="AK300" s="828">
        <f>R300*S300</f>
        <v>3926.1</v>
      </c>
      <c r="AL300" s="828">
        <f>R300*T300</f>
        <v>0</v>
      </c>
      <c r="AM300" s="828">
        <f t="shared" si="422"/>
        <v>512.09999999999991</v>
      </c>
      <c r="AN300" s="828">
        <f t="shared" si="422"/>
        <v>0</v>
      </c>
      <c r="AO300" s="830">
        <f>Z300*S300</f>
        <v>0</v>
      </c>
      <c r="AP300" s="830">
        <f>Z300*T300</f>
        <v>0</v>
      </c>
      <c r="AQ300" s="830">
        <f>AA300</f>
        <v>2773.9</v>
      </c>
      <c r="AR300" s="830">
        <f>W300*S300</f>
        <v>392.61</v>
      </c>
      <c r="AS300" s="830">
        <f>W300*T300</f>
        <v>0</v>
      </c>
      <c r="AT300" s="835">
        <f t="shared" si="376"/>
        <v>3926.1</v>
      </c>
      <c r="AU300" s="835">
        <f t="shared" si="377"/>
        <v>0</v>
      </c>
      <c r="AV300" s="828"/>
      <c r="AW300" s="944">
        <f>AT300+AU300-AV300</f>
        <v>3926.1</v>
      </c>
    </row>
    <row r="301" spans="2:53" s="196" customFormat="1" ht="63">
      <c r="B301" s="770"/>
      <c r="C301" s="886" t="s">
        <v>595</v>
      </c>
      <c r="D301" s="820"/>
      <c r="E301" s="770" t="s">
        <v>1470</v>
      </c>
      <c r="F301" s="770">
        <v>3</v>
      </c>
      <c r="G301" s="821">
        <v>3414</v>
      </c>
      <c r="H301" s="821"/>
      <c r="I301" s="821"/>
      <c r="J301" s="821"/>
      <c r="K301" s="821"/>
      <c r="L301" s="821"/>
      <c r="M301" s="821"/>
      <c r="N301" s="821"/>
      <c r="O301" s="824">
        <v>0.15</v>
      </c>
      <c r="P301" s="829">
        <f>G301*O301</f>
        <v>512.1</v>
      </c>
      <c r="Q301" s="821"/>
      <c r="R301" s="821">
        <f>G301+I301+K301+L301+N301+P301+Q301</f>
        <v>3926.1</v>
      </c>
      <c r="S301" s="821">
        <v>1</v>
      </c>
      <c r="T301" s="821"/>
      <c r="U301" s="821"/>
      <c r="V301" s="824">
        <v>0.1</v>
      </c>
      <c r="W301" s="821">
        <f>R301*V301</f>
        <v>392.61</v>
      </c>
      <c r="X301" s="770"/>
      <c r="Y301" s="824"/>
      <c r="Z301" s="821"/>
      <c r="AA301" s="821">
        <f>AH301</f>
        <v>2773.9</v>
      </c>
      <c r="AB301" s="821">
        <f>(R301+Z301+U301+W301)*S301+AA301</f>
        <v>7092.6100000000006</v>
      </c>
      <c r="AC301" s="825">
        <f>AF301</f>
        <v>0</v>
      </c>
      <c r="AD301" s="825">
        <f>AB301+AC301</f>
        <v>7092.6100000000006</v>
      </c>
      <c r="AE301" s="826">
        <f>AB301</f>
        <v>7092.6100000000006</v>
      </c>
      <c r="AF301" s="826">
        <f>AE301-AB301</f>
        <v>0</v>
      </c>
      <c r="AG301" s="827">
        <f>6700*S301</f>
        <v>6700</v>
      </c>
      <c r="AH301" s="826">
        <f>AG301-(R301*S301)</f>
        <v>2773.9</v>
      </c>
      <c r="AI301" s="828">
        <f>G301*S301</f>
        <v>3414</v>
      </c>
      <c r="AJ301" s="828">
        <f>G301*T301</f>
        <v>0</v>
      </c>
      <c r="AK301" s="828">
        <f>R301*S301</f>
        <v>3926.1</v>
      </c>
      <c r="AL301" s="828">
        <f>R301*T301</f>
        <v>0</v>
      </c>
      <c r="AM301" s="828">
        <f t="shared" si="422"/>
        <v>512.09999999999991</v>
      </c>
      <c r="AN301" s="828">
        <f t="shared" si="422"/>
        <v>0</v>
      </c>
      <c r="AO301" s="830">
        <f>Z301*S301</f>
        <v>0</v>
      </c>
      <c r="AP301" s="830">
        <f>Z301*T301</f>
        <v>0</v>
      </c>
      <c r="AQ301" s="830">
        <f>AA301</f>
        <v>2773.9</v>
      </c>
      <c r="AR301" s="830">
        <f>W301*S301</f>
        <v>392.61</v>
      </c>
      <c r="AS301" s="830">
        <f>W301*T301</f>
        <v>0</v>
      </c>
      <c r="AT301" s="835">
        <f t="shared" si="376"/>
        <v>3926.1</v>
      </c>
      <c r="AU301" s="835">
        <f t="shared" si="377"/>
        <v>0</v>
      </c>
      <c r="AV301" s="828"/>
      <c r="AW301" s="944">
        <f>AT301+AU301-AV301</f>
        <v>3926.1</v>
      </c>
    </row>
    <row r="302" spans="2:53" s="196" customFormat="1" ht="63">
      <c r="B302" s="770"/>
      <c r="C302" s="886" t="s">
        <v>595</v>
      </c>
      <c r="D302" s="820"/>
      <c r="E302" s="770" t="s">
        <v>1466</v>
      </c>
      <c r="F302" s="770">
        <v>3</v>
      </c>
      <c r="G302" s="821">
        <v>3414</v>
      </c>
      <c r="H302" s="821"/>
      <c r="I302" s="821"/>
      <c r="J302" s="831"/>
      <c r="K302" s="831"/>
      <c r="L302" s="831"/>
      <c r="M302" s="831"/>
      <c r="N302" s="831"/>
      <c r="O302" s="824">
        <v>0.15</v>
      </c>
      <c r="P302" s="829">
        <f>G302*O302</f>
        <v>512.1</v>
      </c>
      <c r="Q302" s="831"/>
      <c r="R302" s="821">
        <f>G302+I302+K302+L302+N302+P302+Q302</f>
        <v>3926.1</v>
      </c>
      <c r="S302" s="821">
        <v>1</v>
      </c>
      <c r="T302" s="831"/>
      <c r="U302" s="831"/>
      <c r="V302" s="824">
        <v>0.1</v>
      </c>
      <c r="W302" s="821">
        <f>R302*V302</f>
        <v>392.61</v>
      </c>
      <c r="X302" s="770"/>
      <c r="Y302" s="824"/>
      <c r="Z302" s="821"/>
      <c r="AA302" s="821">
        <f>AH302</f>
        <v>2773.9</v>
      </c>
      <c r="AB302" s="821">
        <f>(R302+Z302+U302+W302)*S302+AA302</f>
        <v>7092.6100000000006</v>
      </c>
      <c r="AC302" s="825">
        <f>AF302</f>
        <v>0</v>
      </c>
      <c r="AD302" s="825">
        <f>AB302+AC302</f>
        <v>7092.6100000000006</v>
      </c>
      <c r="AE302" s="826">
        <f>AB302</f>
        <v>7092.6100000000006</v>
      </c>
      <c r="AF302" s="826">
        <f>AE302-AB302</f>
        <v>0</v>
      </c>
      <c r="AG302" s="827">
        <f>6700*S302</f>
        <v>6700</v>
      </c>
      <c r="AH302" s="826">
        <f>AG302-(R302*S302)</f>
        <v>2773.9</v>
      </c>
      <c r="AI302" s="828">
        <f>G302*S302</f>
        <v>3414</v>
      </c>
      <c r="AJ302" s="828">
        <f>G302*T302</f>
        <v>0</v>
      </c>
      <c r="AK302" s="828">
        <f>R302*S302</f>
        <v>3926.1</v>
      </c>
      <c r="AL302" s="828">
        <f>R302*T302</f>
        <v>0</v>
      </c>
      <c r="AM302" s="828">
        <f t="shared" si="422"/>
        <v>512.09999999999991</v>
      </c>
      <c r="AN302" s="828">
        <f t="shared" si="422"/>
        <v>0</v>
      </c>
      <c r="AO302" s="830">
        <f>Z302*S302</f>
        <v>0</v>
      </c>
      <c r="AP302" s="830">
        <f>Z302*T302</f>
        <v>0</v>
      </c>
      <c r="AQ302" s="830">
        <f>AA302</f>
        <v>2773.9</v>
      </c>
      <c r="AR302" s="830">
        <f>W302*S302</f>
        <v>392.61</v>
      </c>
      <c r="AS302" s="830">
        <f>W302*T302</f>
        <v>0</v>
      </c>
      <c r="AT302" s="835">
        <f t="shared" si="376"/>
        <v>3926.1</v>
      </c>
      <c r="AU302" s="835">
        <f t="shared" si="377"/>
        <v>0</v>
      </c>
      <c r="AV302" s="828"/>
      <c r="AW302" s="944">
        <f>AT302+AU302-AV302</f>
        <v>3926.1</v>
      </c>
    </row>
    <row r="303" spans="2:53" s="196" customFormat="1" ht="31.5">
      <c r="B303" s="770"/>
      <c r="C303" s="799" t="s">
        <v>504</v>
      </c>
      <c r="D303" s="832"/>
      <c r="E303" s="812"/>
      <c r="F303" s="812"/>
      <c r="G303" s="802">
        <f>SUM(G298:G302)</f>
        <v>17070</v>
      </c>
      <c r="H303" s="813"/>
      <c r="I303" s="812"/>
      <c r="J303" s="813"/>
      <c r="K303" s="812"/>
      <c r="L303" s="812"/>
      <c r="M303" s="813"/>
      <c r="N303" s="812"/>
      <c r="O303" s="813"/>
      <c r="P303" s="802">
        <f>SUM(P298:P302)</f>
        <v>2560.5</v>
      </c>
      <c r="Q303" s="812"/>
      <c r="R303" s="802">
        <f>SUM(R298:R302)</f>
        <v>19630.5</v>
      </c>
      <c r="S303" s="802">
        <f>SUM(S298:S302)</f>
        <v>5</v>
      </c>
      <c r="T303" s="802">
        <f>SUM(T298:T302)</f>
        <v>0</v>
      </c>
      <c r="U303" s="802"/>
      <c r="V303" s="802"/>
      <c r="W303" s="802">
        <f>SUM(W298:W302)</f>
        <v>1963.0500000000002</v>
      </c>
      <c r="X303" s="802"/>
      <c r="Y303" s="802"/>
      <c r="Z303" s="802"/>
      <c r="AA303" s="802">
        <f>SUM(AA298:AA302)</f>
        <v>13869.5</v>
      </c>
      <c r="AB303" s="802">
        <f>SUM(AB298:AB302)</f>
        <v>35463.050000000003</v>
      </c>
      <c r="AC303" s="802">
        <f t="shared" ref="AC303:AW303" si="423">SUM(AC298:AC302)</f>
        <v>0</v>
      </c>
      <c r="AD303" s="802">
        <f t="shared" si="423"/>
        <v>35463.050000000003</v>
      </c>
      <c r="AE303" s="802">
        <f t="shared" si="423"/>
        <v>35463.050000000003</v>
      </c>
      <c r="AF303" s="802">
        <f t="shared" si="423"/>
        <v>0</v>
      </c>
      <c r="AG303" s="802">
        <f t="shared" si="423"/>
        <v>33500</v>
      </c>
      <c r="AH303" s="802">
        <f t="shared" si="423"/>
        <v>13869.5</v>
      </c>
      <c r="AI303" s="802">
        <f t="shared" si="423"/>
        <v>17070</v>
      </c>
      <c r="AJ303" s="802">
        <f t="shared" si="423"/>
        <v>0</v>
      </c>
      <c r="AK303" s="802">
        <f t="shared" si="423"/>
        <v>19630.5</v>
      </c>
      <c r="AL303" s="802">
        <f t="shared" si="423"/>
        <v>0</v>
      </c>
      <c r="AM303" s="802">
        <f t="shared" si="423"/>
        <v>2560.4999999999995</v>
      </c>
      <c r="AN303" s="802">
        <f t="shared" si="423"/>
        <v>0</v>
      </c>
      <c r="AO303" s="802">
        <f t="shared" si="423"/>
        <v>0</v>
      </c>
      <c r="AP303" s="802">
        <f t="shared" si="423"/>
        <v>0</v>
      </c>
      <c r="AQ303" s="802">
        <f t="shared" si="423"/>
        <v>13869.5</v>
      </c>
      <c r="AR303" s="802">
        <f t="shared" si="423"/>
        <v>1963.0500000000002</v>
      </c>
      <c r="AS303" s="802">
        <f t="shared" si="423"/>
        <v>0</v>
      </c>
      <c r="AT303" s="802">
        <f t="shared" si="423"/>
        <v>19630.5</v>
      </c>
      <c r="AU303" s="802">
        <f t="shared" si="423"/>
        <v>0</v>
      </c>
      <c r="AV303" s="802">
        <f t="shared" si="423"/>
        <v>0</v>
      </c>
      <c r="AW303" s="802">
        <f t="shared" si="423"/>
        <v>19630.5</v>
      </c>
    </row>
    <row r="304" spans="2:53" s="196" customFormat="1" ht="31.5">
      <c r="B304" s="770"/>
      <c r="C304" s="799" t="s">
        <v>1547</v>
      </c>
      <c r="D304" s="832"/>
      <c r="E304" s="812"/>
      <c r="F304" s="812"/>
      <c r="G304" s="803">
        <f>G284+G296+G303</f>
        <v>113175</v>
      </c>
      <c r="H304" s="802"/>
      <c r="I304" s="802"/>
      <c r="J304" s="802"/>
      <c r="K304" s="802"/>
      <c r="L304" s="802"/>
      <c r="M304" s="802"/>
      <c r="N304" s="802"/>
      <c r="O304" s="802"/>
      <c r="P304" s="803">
        <f>P284+P296+P303</f>
        <v>17051.325000000001</v>
      </c>
      <c r="Q304" s="802"/>
      <c r="R304" s="802">
        <f>R284+R296+R303</f>
        <v>133387.20499999999</v>
      </c>
      <c r="S304" s="802">
        <f>S284+S296+S303</f>
        <v>21</v>
      </c>
      <c r="T304" s="802">
        <f>T284+T296+T303</f>
        <v>0.5</v>
      </c>
      <c r="U304" s="802"/>
      <c r="V304" s="802"/>
      <c r="W304" s="802">
        <f>W284+W296+W303</f>
        <v>1963.0500000000002</v>
      </c>
      <c r="X304" s="802"/>
      <c r="Y304" s="802"/>
      <c r="Z304" s="802">
        <f>Z284+Z296+Z303</f>
        <v>23424.637500000001</v>
      </c>
      <c r="AA304" s="802">
        <f>AA284+AA296+AA303</f>
        <v>14319.449999999999</v>
      </c>
      <c r="AB304" s="802">
        <f>AB284+AB296+AB303</f>
        <v>168862.57250000001</v>
      </c>
      <c r="AC304" s="802">
        <f t="shared" ref="AC304:AW304" si="424">AC284+AC296+AC303</f>
        <v>131600.47750000001</v>
      </c>
      <c r="AD304" s="802">
        <f t="shared" si="424"/>
        <v>300463.05</v>
      </c>
      <c r="AE304" s="802">
        <f t="shared" si="424"/>
        <v>300463.05</v>
      </c>
      <c r="AF304" s="802">
        <f t="shared" si="424"/>
        <v>131600.47750000001</v>
      </c>
      <c r="AG304" s="802">
        <f t="shared" si="424"/>
        <v>144050</v>
      </c>
      <c r="AH304" s="802">
        <f t="shared" si="424"/>
        <v>28606.125</v>
      </c>
      <c r="AI304" s="802">
        <f t="shared" si="424"/>
        <v>107042</v>
      </c>
      <c r="AJ304" s="802">
        <f t="shared" si="424"/>
        <v>3066.5</v>
      </c>
      <c r="AK304" s="802">
        <f t="shared" si="424"/>
        <v>126334.255</v>
      </c>
      <c r="AL304" s="802">
        <f t="shared" si="424"/>
        <v>3526.4749999999999</v>
      </c>
      <c r="AM304" s="802">
        <f t="shared" si="424"/>
        <v>19292.255000000001</v>
      </c>
      <c r="AN304" s="802">
        <f t="shared" si="424"/>
        <v>459.97499999999991</v>
      </c>
      <c r="AO304" s="802">
        <f t="shared" si="424"/>
        <v>22014.047500000001</v>
      </c>
      <c r="AP304" s="802">
        <f t="shared" si="424"/>
        <v>705.29500000000007</v>
      </c>
      <c r="AQ304" s="802">
        <f t="shared" si="424"/>
        <v>14319.449999999999</v>
      </c>
      <c r="AR304" s="802">
        <f t="shared" si="424"/>
        <v>1963.0500000000002</v>
      </c>
      <c r="AS304" s="802">
        <f t="shared" si="424"/>
        <v>0</v>
      </c>
      <c r="AT304" s="802">
        <f t="shared" si="424"/>
        <v>126334.255</v>
      </c>
      <c r="AU304" s="802">
        <f t="shared" si="424"/>
        <v>3526.4749999999999</v>
      </c>
      <c r="AV304" s="802">
        <f t="shared" si="424"/>
        <v>0</v>
      </c>
      <c r="AW304" s="802">
        <f t="shared" si="424"/>
        <v>129860.73</v>
      </c>
    </row>
    <row r="305" spans="2:55" s="196" customFormat="1" ht="33">
      <c r="B305" s="770"/>
      <c r="C305" s="812" t="s">
        <v>686</v>
      </c>
      <c r="D305" s="832"/>
      <c r="E305" s="812"/>
      <c r="F305" s="812"/>
      <c r="G305" s="804"/>
      <c r="H305" s="804"/>
      <c r="I305" s="804"/>
      <c r="J305" s="804"/>
      <c r="K305" s="804"/>
      <c r="L305" s="804"/>
      <c r="M305" s="804"/>
      <c r="N305" s="804"/>
      <c r="O305" s="804"/>
      <c r="P305" s="804"/>
      <c r="Q305" s="804"/>
      <c r="R305" s="804"/>
      <c r="S305" s="802"/>
      <c r="T305" s="802"/>
      <c r="U305" s="804"/>
      <c r="V305" s="804"/>
      <c r="W305" s="804"/>
      <c r="X305" s="804"/>
      <c r="Y305" s="804"/>
      <c r="Z305" s="804"/>
      <c r="AA305" s="804"/>
      <c r="AB305" s="804"/>
      <c r="AC305" s="804"/>
      <c r="AD305" s="804"/>
      <c r="AE305" s="804"/>
      <c r="AF305" s="804"/>
      <c r="AG305" s="804"/>
      <c r="AH305" s="804"/>
      <c r="AI305" s="804"/>
      <c r="AJ305" s="804"/>
      <c r="AK305" s="804"/>
      <c r="AL305" s="804"/>
      <c r="AM305" s="804"/>
      <c r="AN305" s="804"/>
      <c r="AO305" s="804"/>
      <c r="AP305" s="804"/>
      <c r="AQ305" s="804"/>
      <c r="AR305" s="804"/>
      <c r="AS305" s="804"/>
      <c r="AT305" s="835">
        <f t="shared" si="376"/>
        <v>0</v>
      </c>
      <c r="AU305" s="835">
        <f t="shared" si="377"/>
        <v>0</v>
      </c>
      <c r="AV305" s="804"/>
      <c r="AW305" s="804"/>
    </row>
    <row r="306" spans="2:55" s="196" customFormat="1" ht="33">
      <c r="B306" s="770"/>
      <c r="C306" s="810" t="s">
        <v>1298</v>
      </c>
      <c r="D306" s="811"/>
      <c r="E306" s="812"/>
      <c r="F306" s="812"/>
      <c r="G306" s="812"/>
      <c r="H306" s="813"/>
      <c r="I306" s="812"/>
      <c r="J306" s="813"/>
      <c r="K306" s="812"/>
      <c r="L306" s="812"/>
      <c r="M306" s="813"/>
      <c r="N306" s="812"/>
      <c r="O306" s="813"/>
      <c r="P306" s="812"/>
      <c r="Q306" s="812"/>
      <c r="R306" s="812"/>
      <c r="S306" s="812"/>
      <c r="T306" s="812"/>
      <c r="U306" s="812"/>
      <c r="V306" s="812"/>
      <c r="W306" s="812"/>
      <c r="X306" s="812"/>
      <c r="Y306" s="812"/>
      <c r="Z306" s="812"/>
      <c r="AA306" s="812"/>
      <c r="AB306" s="812"/>
      <c r="AC306" s="834"/>
      <c r="AD306" s="834"/>
      <c r="AE306" s="815"/>
      <c r="AF306" s="815"/>
      <c r="AG306" s="816"/>
      <c r="AH306" s="815"/>
      <c r="AI306" s="828">
        <f>G306*S306</f>
        <v>0</v>
      </c>
      <c r="AJ306" s="828">
        <f>G306*T306</f>
        <v>0</v>
      </c>
      <c r="AK306" s="828">
        <f>R306*S306</f>
        <v>0</v>
      </c>
      <c r="AL306" s="828">
        <f>R306*T306</f>
        <v>0</v>
      </c>
      <c r="AM306" s="828">
        <f t="shared" ref="AM306:AN309" si="425">AK306-AI306</f>
        <v>0</v>
      </c>
      <c r="AN306" s="828">
        <f t="shared" si="425"/>
        <v>0</v>
      </c>
      <c r="AO306" s="830">
        <f>Z306*S306</f>
        <v>0</v>
      </c>
      <c r="AP306" s="830">
        <f>Z306*T306</f>
        <v>0</v>
      </c>
      <c r="AQ306" s="830">
        <f>AA306</f>
        <v>0</v>
      </c>
      <c r="AR306" s="830">
        <f>W306*S306</f>
        <v>0</v>
      </c>
      <c r="AS306" s="830">
        <f>W306*T306</f>
        <v>0</v>
      </c>
      <c r="AT306" s="835">
        <f t="shared" si="376"/>
        <v>0</v>
      </c>
      <c r="AU306" s="835">
        <f t="shared" si="377"/>
        <v>0</v>
      </c>
      <c r="AV306" s="828"/>
      <c r="AW306" s="944">
        <f>AT306+AU306-AV306</f>
        <v>0</v>
      </c>
    </row>
    <row r="307" spans="2:55" s="196" customFormat="1" ht="33">
      <c r="B307" s="770"/>
      <c r="C307" s="851" t="s">
        <v>1720</v>
      </c>
      <c r="D307" s="845"/>
      <c r="E307" s="846"/>
      <c r="F307" s="846"/>
      <c r="G307" s="846"/>
      <c r="H307" s="847"/>
      <c r="I307" s="846"/>
      <c r="J307" s="847"/>
      <c r="K307" s="846"/>
      <c r="L307" s="846"/>
      <c r="M307" s="847"/>
      <c r="N307" s="846"/>
      <c r="O307" s="847"/>
      <c r="P307" s="846"/>
      <c r="Q307" s="846"/>
      <c r="R307" s="846"/>
      <c r="S307" s="846"/>
      <c r="T307" s="846"/>
      <c r="U307" s="846"/>
      <c r="V307" s="846"/>
      <c r="W307" s="846"/>
      <c r="X307" s="846"/>
      <c r="Y307" s="846"/>
      <c r="Z307" s="846"/>
      <c r="AA307" s="846"/>
      <c r="AB307" s="846"/>
      <c r="AC307" s="848"/>
      <c r="AD307" s="848"/>
      <c r="AE307" s="849"/>
      <c r="AF307" s="849"/>
      <c r="AG307" s="850"/>
      <c r="AH307" s="849"/>
      <c r="AI307" s="828">
        <f>G307*S307</f>
        <v>0</v>
      </c>
      <c r="AJ307" s="828">
        <f>G307*T307</f>
        <v>0</v>
      </c>
      <c r="AK307" s="828">
        <f>R307*S307</f>
        <v>0</v>
      </c>
      <c r="AL307" s="828">
        <f>R307*T307</f>
        <v>0</v>
      </c>
      <c r="AM307" s="828">
        <f t="shared" si="425"/>
        <v>0</v>
      </c>
      <c r="AN307" s="828">
        <f t="shared" si="425"/>
        <v>0</v>
      </c>
      <c r="AO307" s="830">
        <f>Z307*S307</f>
        <v>0</v>
      </c>
      <c r="AP307" s="830">
        <f>Z307*T307</f>
        <v>0</v>
      </c>
      <c r="AQ307" s="830">
        <f>AA307</f>
        <v>0</v>
      </c>
      <c r="AR307" s="830">
        <f>W307*S307</f>
        <v>0</v>
      </c>
      <c r="AS307" s="830">
        <f>W307*T307</f>
        <v>0</v>
      </c>
      <c r="AT307" s="835">
        <f t="shared" si="376"/>
        <v>0</v>
      </c>
      <c r="AU307" s="835">
        <f t="shared" si="377"/>
        <v>0</v>
      </c>
      <c r="AV307" s="828"/>
      <c r="AW307" s="944">
        <f>AT307+AU307-AV307</f>
        <v>0</v>
      </c>
      <c r="BC307" s="197"/>
    </row>
    <row r="308" spans="2:55" s="196" customFormat="1" ht="58.5">
      <c r="B308" s="770"/>
      <c r="C308" s="819" t="s">
        <v>562</v>
      </c>
      <c r="D308" s="820" t="s">
        <v>1661</v>
      </c>
      <c r="E308" s="770" t="s">
        <v>1662</v>
      </c>
      <c r="F308" s="770">
        <v>10</v>
      </c>
      <c r="G308" s="821">
        <v>5265</v>
      </c>
      <c r="H308" s="821"/>
      <c r="I308" s="821"/>
      <c r="J308" s="821"/>
      <c r="K308" s="821"/>
      <c r="L308" s="821"/>
      <c r="M308" s="821"/>
      <c r="N308" s="812"/>
      <c r="O308" s="813"/>
      <c r="P308" s="812"/>
      <c r="Q308" s="821"/>
      <c r="R308" s="821">
        <f>G308+I308+K308+L308+N308+P308+Q308</f>
        <v>5265</v>
      </c>
      <c r="S308" s="821">
        <v>1</v>
      </c>
      <c r="T308" s="821"/>
      <c r="U308" s="821"/>
      <c r="V308" s="821"/>
      <c r="W308" s="821"/>
      <c r="X308" s="770">
        <v>4</v>
      </c>
      <c r="Y308" s="824">
        <v>0.1</v>
      </c>
      <c r="Z308" s="821">
        <f>R308*Y308</f>
        <v>526.5</v>
      </c>
      <c r="AA308" s="821">
        <f>AH308</f>
        <v>1435</v>
      </c>
      <c r="AB308" s="821">
        <f>(R308+AA308)*S308</f>
        <v>6700</v>
      </c>
      <c r="AC308" s="825">
        <f>AF308</f>
        <v>13300</v>
      </c>
      <c r="AD308" s="825">
        <f>AB308+AC308</f>
        <v>20000</v>
      </c>
      <c r="AE308" s="826">
        <f>20000*S308</f>
        <v>20000</v>
      </c>
      <c r="AF308" s="826">
        <f>AE308-AB308</f>
        <v>13300</v>
      </c>
      <c r="AG308" s="827">
        <f>6700*S308</f>
        <v>6700</v>
      </c>
      <c r="AH308" s="826">
        <f>AG308-(R308*S308)</f>
        <v>1435</v>
      </c>
      <c r="AI308" s="828">
        <f>G308*S308</f>
        <v>5265</v>
      </c>
      <c r="AJ308" s="828">
        <f>G308*T308</f>
        <v>0</v>
      </c>
      <c r="AK308" s="828">
        <f>R308*S308</f>
        <v>5265</v>
      </c>
      <c r="AL308" s="828">
        <f>R308*T308</f>
        <v>0</v>
      </c>
      <c r="AM308" s="828">
        <f t="shared" si="425"/>
        <v>0</v>
      </c>
      <c r="AN308" s="828">
        <f t="shared" si="425"/>
        <v>0</v>
      </c>
      <c r="AO308" s="830">
        <f>Z308*S308</f>
        <v>526.5</v>
      </c>
      <c r="AP308" s="830">
        <f>Z308*T308</f>
        <v>0</v>
      </c>
      <c r="AQ308" s="830">
        <f>AA308</f>
        <v>1435</v>
      </c>
      <c r="AR308" s="830">
        <f>W308*S308</f>
        <v>0</v>
      </c>
      <c r="AS308" s="830">
        <f>W308*T308</f>
        <v>0</v>
      </c>
      <c r="AT308" s="835">
        <f t="shared" si="376"/>
        <v>5265</v>
      </c>
      <c r="AU308" s="835">
        <f t="shared" si="377"/>
        <v>0</v>
      </c>
      <c r="AV308" s="828"/>
      <c r="AW308" s="944">
        <f t="shared" ref="AW308:AW317" si="426">AT308+AU308-AV308</f>
        <v>5265</v>
      </c>
    </row>
    <row r="309" spans="2:55" s="196" customFormat="1" ht="58.5">
      <c r="B309" s="770"/>
      <c r="C309" s="819" t="s">
        <v>562</v>
      </c>
      <c r="D309" s="820" t="s">
        <v>1663</v>
      </c>
      <c r="E309" s="770" t="s">
        <v>1300</v>
      </c>
      <c r="F309" s="770">
        <v>10</v>
      </c>
      <c r="G309" s="821">
        <v>5265</v>
      </c>
      <c r="H309" s="821"/>
      <c r="I309" s="821"/>
      <c r="J309" s="821"/>
      <c r="K309" s="821"/>
      <c r="L309" s="821"/>
      <c r="M309" s="821"/>
      <c r="N309" s="812"/>
      <c r="O309" s="813"/>
      <c r="P309" s="812"/>
      <c r="Q309" s="821"/>
      <c r="R309" s="821">
        <f>G309+I309+K309+L309+N309+P309+Q309</f>
        <v>5265</v>
      </c>
      <c r="S309" s="821">
        <v>1</v>
      </c>
      <c r="T309" s="821"/>
      <c r="U309" s="821"/>
      <c r="V309" s="821"/>
      <c r="W309" s="821"/>
      <c r="X309" s="770">
        <v>3</v>
      </c>
      <c r="Y309" s="824">
        <v>0.1</v>
      </c>
      <c r="Z309" s="821">
        <f>R309*Y309</f>
        <v>526.5</v>
      </c>
      <c r="AA309" s="821">
        <f>AH309</f>
        <v>1435</v>
      </c>
      <c r="AB309" s="821">
        <f>(R309+AA309)*S309</f>
        <v>6700</v>
      </c>
      <c r="AC309" s="825">
        <f>AF309</f>
        <v>13300</v>
      </c>
      <c r="AD309" s="825">
        <f>AB309+AC309</f>
        <v>20000</v>
      </c>
      <c r="AE309" s="826">
        <f>20000*S309</f>
        <v>20000</v>
      </c>
      <c r="AF309" s="826">
        <f>AE309-AB309</f>
        <v>13300</v>
      </c>
      <c r="AG309" s="827">
        <f>6700*S309</f>
        <v>6700</v>
      </c>
      <c r="AH309" s="826">
        <f>AG309-(R309*S309)</f>
        <v>1435</v>
      </c>
      <c r="AI309" s="828">
        <f>G309*S309</f>
        <v>5265</v>
      </c>
      <c r="AJ309" s="828">
        <f>G309*T309</f>
        <v>0</v>
      </c>
      <c r="AK309" s="828">
        <f>R309*S309</f>
        <v>5265</v>
      </c>
      <c r="AL309" s="828">
        <f>R309*T309</f>
        <v>0</v>
      </c>
      <c r="AM309" s="828">
        <f t="shared" si="425"/>
        <v>0</v>
      </c>
      <c r="AN309" s="828">
        <f t="shared" si="425"/>
        <v>0</v>
      </c>
      <c r="AO309" s="830">
        <f>Z309*S309</f>
        <v>526.5</v>
      </c>
      <c r="AP309" s="830">
        <f>Z309*T309</f>
        <v>0</v>
      </c>
      <c r="AQ309" s="830">
        <f>AA309</f>
        <v>1435</v>
      </c>
      <c r="AR309" s="830">
        <f>W309*S309</f>
        <v>0</v>
      </c>
      <c r="AS309" s="830">
        <f>W309*T309</f>
        <v>0</v>
      </c>
      <c r="AT309" s="835">
        <f t="shared" si="376"/>
        <v>5265</v>
      </c>
      <c r="AU309" s="835">
        <f t="shared" si="377"/>
        <v>0</v>
      </c>
      <c r="AV309" s="828"/>
      <c r="AW309" s="944">
        <f t="shared" si="426"/>
        <v>5265</v>
      </c>
    </row>
    <row r="310" spans="2:55" s="196" customFormat="1" ht="31.5">
      <c r="B310" s="770"/>
      <c r="C310" s="799" t="s">
        <v>504</v>
      </c>
      <c r="D310" s="832"/>
      <c r="E310" s="812"/>
      <c r="F310" s="812"/>
      <c r="G310" s="802">
        <f>SUM(G308:G309)</f>
        <v>10530</v>
      </c>
      <c r="H310" s="813"/>
      <c r="I310" s="812"/>
      <c r="J310" s="813"/>
      <c r="K310" s="812"/>
      <c r="L310" s="812"/>
      <c r="M310" s="813"/>
      <c r="N310" s="812"/>
      <c r="O310" s="813"/>
      <c r="P310" s="812"/>
      <c r="Q310" s="812"/>
      <c r="R310" s="802">
        <f>SUM(R308:R309)</f>
        <v>10530</v>
      </c>
      <c r="S310" s="802">
        <f>SUM(S308:S309)</f>
        <v>2</v>
      </c>
      <c r="T310" s="802">
        <f>SUM(T308:T309)</f>
        <v>0</v>
      </c>
      <c r="U310" s="802"/>
      <c r="V310" s="802"/>
      <c r="W310" s="802"/>
      <c r="X310" s="802"/>
      <c r="Y310" s="802"/>
      <c r="Z310" s="802">
        <f t="shared" ref="Z310:AW310" si="427">SUM(Z308:Z309)</f>
        <v>1053</v>
      </c>
      <c r="AA310" s="802">
        <f t="shared" si="427"/>
        <v>2870</v>
      </c>
      <c r="AB310" s="802">
        <f t="shared" si="427"/>
        <v>13400</v>
      </c>
      <c r="AC310" s="802">
        <f t="shared" si="427"/>
        <v>26600</v>
      </c>
      <c r="AD310" s="802">
        <f t="shared" si="427"/>
        <v>40000</v>
      </c>
      <c r="AE310" s="802">
        <f t="shared" si="427"/>
        <v>40000</v>
      </c>
      <c r="AF310" s="802">
        <f t="shared" si="427"/>
        <v>26600</v>
      </c>
      <c r="AG310" s="802">
        <f t="shared" si="427"/>
        <v>13400</v>
      </c>
      <c r="AH310" s="802">
        <f t="shared" si="427"/>
        <v>2870</v>
      </c>
      <c r="AI310" s="802">
        <f t="shared" si="427"/>
        <v>10530</v>
      </c>
      <c r="AJ310" s="802">
        <f t="shared" si="427"/>
        <v>0</v>
      </c>
      <c r="AK310" s="802">
        <f t="shared" si="427"/>
        <v>10530</v>
      </c>
      <c r="AL310" s="802">
        <f t="shared" si="427"/>
        <v>0</v>
      </c>
      <c r="AM310" s="802">
        <f t="shared" si="427"/>
        <v>0</v>
      </c>
      <c r="AN310" s="802">
        <f t="shared" si="427"/>
        <v>0</v>
      </c>
      <c r="AO310" s="802">
        <f t="shared" si="427"/>
        <v>1053</v>
      </c>
      <c r="AP310" s="802">
        <f t="shared" si="427"/>
        <v>0</v>
      </c>
      <c r="AQ310" s="802">
        <f t="shared" si="427"/>
        <v>2870</v>
      </c>
      <c r="AR310" s="802">
        <f t="shared" si="427"/>
        <v>0</v>
      </c>
      <c r="AS310" s="802">
        <f t="shared" si="427"/>
        <v>0</v>
      </c>
      <c r="AT310" s="802">
        <f t="shared" si="427"/>
        <v>10530</v>
      </c>
      <c r="AU310" s="802">
        <f t="shared" si="427"/>
        <v>0</v>
      </c>
      <c r="AV310" s="802">
        <f t="shared" si="427"/>
        <v>0</v>
      </c>
      <c r="AW310" s="802">
        <f t="shared" si="427"/>
        <v>10530</v>
      </c>
    </row>
    <row r="311" spans="2:55" s="196" customFormat="1" ht="33">
      <c r="B311" s="770"/>
      <c r="C311" s="851" t="s">
        <v>1988</v>
      </c>
      <c r="D311" s="811"/>
      <c r="E311" s="812"/>
      <c r="F311" s="812"/>
      <c r="G311" s="812"/>
      <c r="H311" s="813"/>
      <c r="I311" s="812"/>
      <c r="J311" s="813"/>
      <c r="K311" s="812"/>
      <c r="L311" s="812"/>
      <c r="M311" s="813"/>
      <c r="N311" s="812"/>
      <c r="O311" s="813"/>
      <c r="P311" s="812"/>
      <c r="Q311" s="812"/>
      <c r="R311" s="812"/>
      <c r="S311" s="812"/>
      <c r="T311" s="812"/>
      <c r="U311" s="812"/>
      <c r="V311" s="812"/>
      <c r="W311" s="812"/>
      <c r="X311" s="812"/>
      <c r="Y311" s="812"/>
      <c r="Z311" s="812"/>
      <c r="AA311" s="812"/>
      <c r="AB311" s="812"/>
      <c r="AC311" s="834"/>
      <c r="AD311" s="834"/>
      <c r="AE311" s="815"/>
      <c r="AF311" s="815"/>
      <c r="AG311" s="816"/>
      <c r="AH311" s="815"/>
      <c r="AI311" s="828"/>
      <c r="AJ311" s="828"/>
      <c r="AK311" s="828"/>
      <c r="AL311" s="828"/>
      <c r="AM311" s="828"/>
      <c r="AN311" s="828"/>
      <c r="AO311" s="830"/>
      <c r="AP311" s="830"/>
      <c r="AQ311" s="830"/>
      <c r="AR311" s="830"/>
      <c r="AS311" s="830"/>
      <c r="AT311" s="835"/>
      <c r="AU311" s="835"/>
      <c r="AV311" s="828"/>
      <c r="AW311" s="944"/>
    </row>
    <row r="312" spans="2:55" s="196" customFormat="1" ht="58.5">
      <c r="B312" s="770"/>
      <c r="C312" s="878" t="s">
        <v>1323</v>
      </c>
      <c r="D312" s="820" t="s">
        <v>1432</v>
      </c>
      <c r="E312" s="770" t="s">
        <v>1309</v>
      </c>
      <c r="F312" s="770">
        <v>9</v>
      </c>
      <c r="G312" s="821">
        <v>5005</v>
      </c>
      <c r="H312" s="824">
        <v>0.1</v>
      </c>
      <c r="I312" s="770">
        <f>G312*H312</f>
        <v>500.5</v>
      </c>
      <c r="J312" s="831"/>
      <c r="K312" s="831"/>
      <c r="L312" s="831"/>
      <c r="M312" s="831"/>
      <c r="N312" s="831"/>
      <c r="O312" s="831"/>
      <c r="P312" s="831"/>
      <c r="Q312" s="831"/>
      <c r="R312" s="821">
        <f t="shared" ref="R312:R317" si="428">G312+I312+K312+L312+N312+P312+Q312</f>
        <v>5505.5</v>
      </c>
      <c r="S312" s="821">
        <v>1</v>
      </c>
      <c r="T312" s="831"/>
      <c r="U312" s="831"/>
      <c r="V312" s="831"/>
      <c r="W312" s="831"/>
      <c r="X312" s="770">
        <v>40</v>
      </c>
      <c r="Y312" s="824">
        <v>0.3</v>
      </c>
      <c r="Z312" s="821">
        <f t="shared" ref="Z312:Z317" si="429">R312*Y312</f>
        <v>1651.6499999999999</v>
      </c>
      <c r="AA312" s="821"/>
      <c r="AB312" s="821">
        <f>(R312+Z312)*S312</f>
        <v>7157.15</v>
      </c>
      <c r="AC312" s="825">
        <f t="shared" ref="AC312:AC317" si="430">AF312</f>
        <v>6342.85</v>
      </c>
      <c r="AD312" s="825">
        <f t="shared" ref="AD312:AD317" si="431">AB312+AC312</f>
        <v>13500</v>
      </c>
      <c r="AE312" s="826">
        <f t="shared" ref="AE312:AE317" si="432">13500*S312</f>
        <v>13500</v>
      </c>
      <c r="AF312" s="826">
        <f t="shared" ref="AF312:AF317" si="433">AE312-AB312</f>
        <v>6342.85</v>
      </c>
      <c r="AG312" s="827">
        <f t="shared" ref="AG312:AG317" si="434">6700*S312</f>
        <v>6700</v>
      </c>
      <c r="AH312" s="826"/>
      <c r="AI312" s="828">
        <f t="shared" ref="AI312:AI317" si="435">G312*S312</f>
        <v>5005</v>
      </c>
      <c r="AJ312" s="828">
        <f t="shared" ref="AJ312:AJ317" si="436">G312*T312</f>
        <v>0</v>
      </c>
      <c r="AK312" s="828">
        <f t="shared" ref="AK312:AK317" si="437">R312*S312</f>
        <v>5505.5</v>
      </c>
      <c r="AL312" s="828">
        <f t="shared" ref="AL312:AL317" si="438">R312*T312</f>
        <v>0</v>
      </c>
      <c r="AM312" s="828">
        <f t="shared" ref="AM312:AM317" si="439">AK312-AI312</f>
        <v>500.5</v>
      </c>
      <c r="AN312" s="828">
        <f t="shared" ref="AN312:AN317" si="440">AL312-AJ312</f>
        <v>0</v>
      </c>
      <c r="AO312" s="830">
        <f t="shared" ref="AO312:AO317" si="441">Z312*S312</f>
        <v>1651.6499999999999</v>
      </c>
      <c r="AP312" s="830">
        <f t="shared" ref="AP312:AP317" si="442">Z312*T312</f>
        <v>0</v>
      </c>
      <c r="AQ312" s="830">
        <f t="shared" ref="AQ312:AQ317" si="443">AA312</f>
        <v>0</v>
      </c>
      <c r="AR312" s="830">
        <f t="shared" ref="AR312:AR317" si="444">W312*S312</f>
        <v>0</v>
      </c>
      <c r="AS312" s="830">
        <f t="shared" ref="AS312:AS317" si="445">W312*T312</f>
        <v>0</v>
      </c>
      <c r="AT312" s="835">
        <f t="shared" si="376"/>
        <v>5505.5</v>
      </c>
      <c r="AU312" s="835">
        <f t="shared" si="377"/>
        <v>0</v>
      </c>
      <c r="AV312" s="828"/>
      <c r="AW312" s="944">
        <f t="shared" si="426"/>
        <v>5505.5</v>
      </c>
    </row>
    <row r="313" spans="2:55" s="196" customFormat="1" ht="33">
      <c r="B313" s="770"/>
      <c r="C313" s="819" t="s">
        <v>1306</v>
      </c>
      <c r="D313" s="820" t="s">
        <v>521</v>
      </c>
      <c r="E313" s="770" t="s">
        <v>1433</v>
      </c>
      <c r="F313" s="770">
        <v>6</v>
      </c>
      <c r="G313" s="821">
        <v>4195</v>
      </c>
      <c r="H313" s="821"/>
      <c r="I313" s="821"/>
      <c r="J313" s="821"/>
      <c r="K313" s="821"/>
      <c r="L313" s="821"/>
      <c r="M313" s="821"/>
      <c r="N313" s="821"/>
      <c r="O313" s="821"/>
      <c r="P313" s="821"/>
      <c r="Q313" s="821"/>
      <c r="R313" s="821">
        <f t="shared" si="428"/>
        <v>4195</v>
      </c>
      <c r="S313" s="821">
        <v>1</v>
      </c>
      <c r="T313" s="831"/>
      <c r="U313" s="831"/>
      <c r="V313" s="831"/>
      <c r="W313" s="831"/>
      <c r="X313" s="770">
        <v>26</v>
      </c>
      <c r="Y313" s="824">
        <v>0.3</v>
      </c>
      <c r="Z313" s="821">
        <f t="shared" si="429"/>
        <v>1258.5</v>
      </c>
      <c r="AA313" s="821">
        <f>AH313</f>
        <v>1246.5</v>
      </c>
      <c r="AB313" s="821">
        <f>(R313+Z313)*S313+AA313</f>
        <v>6700</v>
      </c>
      <c r="AC313" s="825">
        <f t="shared" si="430"/>
        <v>6800</v>
      </c>
      <c r="AD313" s="825">
        <f>AB313+AC313</f>
        <v>13500</v>
      </c>
      <c r="AE313" s="826">
        <f>13500*S313</f>
        <v>13500</v>
      </c>
      <c r="AF313" s="826">
        <f>AE313-AB313</f>
        <v>6800</v>
      </c>
      <c r="AG313" s="827">
        <f t="shared" si="434"/>
        <v>6700</v>
      </c>
      <c r="AH313" s="826">
        <f>AG313-(R313*S313)-Z313</f>
        <v>1246.5</v>
      </c>
      <c r="AI313" s="828">
        <f t="shared" si="435"/>
        <v>4195</v>
      </c>
      <c r="AJ313" s="828">
        <f t="shared" si="436"/>
        <v>0</v>
      </c>
      <c r="AK313" s="828">
        <f t="shared" si="437"/>
        <v>4195</v>
      </c>
      <c r="AL313" s="828">
        <f t="shared" si="438"/>
        <v>0</v>
      </c>
      <c r="AM313" s="828">
        <f t="shared" si="439"/>
        <v>0</v>
      </c>
      <c r="AN313" s="828">
        <f t="shared" si="440"/>
        <v>0</v>
      </c>
      <c r="AO313" s="830">
        <f t="shared" si="441"/>
        <v>1258.5</v>
      </c>
      <c r="AP313" s="830">
        <f t="shared" si="442"/>
        <v>0</v>
      </c>
      <c r="AQ313" s="830">
        <f t="shared" si="443"/>
        <v>1246.5</v>
      </c>
      <c r="AR313" s="830">
        <f t="shared" si="444"/>
        <v>0</v>
      </c>
      <c r="AS313" s="830">
        <f t="shared" si="445"/>
        <v>0</v>
      </c>
      <c r="AT313" s="835">
        <f t="shared" si="376"/>
        <v>4195</v>
      </c>
      <c r="AU313" s="835">
        <f t="shared" si="377"/>
        <v>0</v>
      </c>
      <c r="AV313" s="828"/>
      <c r="AW313" s="944">
        <f t="shared" si="426"/>
        <v>4195</v>
      </c>
    </row>
    <row r="314" spans="2:55" s="196" customFormat="1" ht="58.5">
      <c r="B314" s="770"/>
      <c r="C314" s="819" t="s">
        <v>1306</v>
      </c>
      <c r="D314" s="820" t="s">
        <v>1388</v>
      </c>
      <c r="E314" s="770" t="s">
        <v>1389</v>
      </c>
      <c r="F314" s="770">
        <v>9</v>
      </c>
      <c r="G314" s="821">
        <v>5005</v>
      </c>
      <c r="H314" s="821"/>
      <c r="I314" s="821"/>
      <c r="J314" s="821"/>
      <c r="K314" s="821"/>
      <c r="L314" s="821"/>
      <c r="M314" s="821"/>
      <c r="N314" s="821"/>
      <c r="O314" s="821"/>
      <c r="P314" s="821"/>
      <c r="Q314" s="821"/>
      <c r="R314" s="821">
        <f t="shared" si="428"/>
        <v>5005</v>
      </c>
      <c r="S314" s="821">
        <v>1</v>
      </c>
      <c r="T314" s="821"/>
      <c r="U314" s="831"/>
      <c r="V314" s="831"/>
      <c r="W314" s="831"/>
      <c r="X314" s="770">
        <v>33</v>
      </c>
      <c r="Y314" s="824">
        <v>0.3</v>
      </c>
      <c r="Z314" s="821">
        <f t="shared" si="429"/>
        <v>1501.5</v>
      </c>
      <c r="AA314" s="821">
        <f>AH314</f>
        <v>193.5</v>
      </c>
      <c r="AB314" s="821">
        <f>(R314+Z314)*S314+AA314</f>
        <v>6700</v>
      </c>
      <c r="AC314" s="825">
        <f t="shared" si="430"/>
        <v>6800</v>
      </c>
      <c r="AD314" s="825">
        <f>AB314+AC314</f>
        <v>13500</v>
      </c>
      <c r="AE314" s="826">
        <f>13500*S314</f>
        <v>13500</v>
      </c>
      <c r="AF314" s="826">
        <f>AE314-AB314</f>
        <v>6800</v>
      </c>
      <c r="AG314" s="827">
        <f t="shared" si="434"/>
        <v>6700</v>
      </c>
      <c r="AH314" s="826">
        <f>AG314-(R314*S314)-Z314</f>
        <v>193.5</v>
      </c>
      <c r="AI314" s="828">
        <f t="shared" si="435"/>
        <v>5005</v>
      </c>
      <c r="AJ314" s="828">
        <f t="shared" si="436"/>
        <v>0</v>
      </c>
      <c r="AK314" s="828">
        <f t="shared" si="437"/>
        <v>5005</v>
      </c>
      <c r="AL314" s="828">
        <f t="shared" si="438"/>
        <v>0</v>
      </c>
      <c r="AM314" s="828">
        <f t="shared" si="439"/>
        <v>0</v>
      </c>
      <c r="AN314" s="828">
        <f t="shared" si="440"/>
        <v>0</v>
      </c>
      <c r="AO314" s="830">
        <f t="shared" si="441"/>
        <v>1501.5</v>
      </c>
      <c r="AP314" s="830">
        <f t="shared" si="442"/>
        <v>0</v>
      </c>
      <c r="AQ314" s="830">
        <f t="shared" si="443"/>
        <v>193.5</v>
      </c>
      <c r="AR314" s="830">
        <f t="shared" si="444"/>
        <v>0</v>
      </c>
      <c r="AS314" s="830">
        <f t="shared" si="445"/>
        <v>0</v>
      </c>
      <c r="AT314" s="835">
        <f t="shared" si="376"/>
        <v>5005</v>
      </c>
      <c r="AU314" s="835">
        <f t="shared" si="377"/>
        <v>0</v>
      </c>
      <c r="AV314" s="828"/>
      <c r="AW314" s="944">
        <f t="shared" si="426"/>
        <v>5005</v>
      </c>
      <c r="AX314" s="198"/>
      <c r="AY314" s="198"/>
    </row>
    <row r="315" spans="2:55" s="196" customFormat="1" ht="33">
      <c r="B315" s="770"/>
      <c r="C315" s="819" t="s">
        <v>1306</v>
      </c>
      <c r="D315" s="820" t="s">
        <v>521</v>
      </c>
      <c r="E315" s="770" t="s">
        <v>1307</v>
      </c>
      <c r="F315" s="770">
        <v>6</v>
      </c>
      <c r="G315" s="821">
        <v>4195</v>
      </c>
      <c r="H315" s="821"/>
      <c r="I315" s="821"/>
      <c r="J315" s="821"/>
      <c r="K315" s="821"/>
      <c r="L315" s="821"/>
      <c r="M315" s="821"/>
      <c r="N315" s="821"/>
      <c r="O315" s="821"/>
      <c r="P315" s="821"/>
      <c r="Q315" s="821"/>
      <c r="R315" s="821">
        <f t="shared" si="428"/>
        <v>4195</v>
      </c>
      <c r="S315" s="821">
        <v>1</v>
      </c>
      <c r="T315" s="831"/>
      <c r="U315" s="831"/>
      <c r="V315" s="831"/>
      <c r="W315" s="831"/>
      <c r="X315" s="770">
        <v>3</v>
      </c>
      <c r="Y315" s="824">
        <v>0.1</v>
      </c>
      <c r="Z315" s="821">
        <f t="shared" si="429"/>
        <v>419.5</v>
      </c>
      <c r="AA315" s="821">
        <f>AH315</f>
        <v>2085.5</v>
      </c>
      <c r="AB315" s="821">
        <f>(R315+Z315)*S315+AA315</f>
        <v>6700</v>
      </c>
      <c r="AC315" s="825">
        <f t="shared" si="430"/>
        <v>6800</v>
      </c>
      <c r="AD315" s="825">
        <f t="shared" si="431"/>
        <v>13500</v>
      </c>
      <c r="AE315" s="826">
        <f t="shared" si="432"/>
        <v>13500</v>
      </c>
      <c r="AF315" s="826">
        <f t="shared" si="433"/>
        <v>6800</v>
      </c>
      <c r="AG315" s="827">
        <f t="shared" si="434"/>
        <v>6700</v>
      </c>
      <c r="AH315" s="826">
        <f>AG315-(R315*S315)-Z315</f>
        <v>2085.5</v>
      </c>
      <c r="AI315" s="828">
        <f t="shared" si="435"/>
        <v>4195</v>
      </c>
      <c r="AJ315" s="828">
        <f t="shared" si="436"/>
        <v>0</v>
      </c>
      <c r="AK315" s="828">
        <f t="shared" si="437"/>
        <v>4195</v>
      </c>
      <c r="AL315" s="828">
        <f t="shared" si="438"/>
        <v>0</v>
      </c>
      <c r="AM315" s="828">
        <f t="shared" si="439"/>
        <v>0</v>
      </c>
      <c r="AN315" s="828">
        <f t="shared" si="440"/>
        <v>0</v>
      </c>
      <c r="AO315" s="830">
        <f t="shared" si="441"/>
        <v>419.5</v>
      </c>
      <c r="AP315" s="830">
        <f t="shared" si="442"/>
        <v>0</v>
      </c>
      <c r="AQ315" s="830">
        <f t="shared" si="443"/>
        <v>2085.5</v>
      </c>
      <c r="AR315" s="830">
        <f t="shared" si="444"/>
        <v>0</v>
      </c>
      <c r="AS315" s="830">
        <f t="shared" si="445"/>
        <v>0</v>
      </c>
      <c r="AT315" s="835">
        <f t="shared" si="376"/>
        <v>4195</v>
      </c>
      <c r="AU315" s="835">
        <f t="shared" si="377"/>
        <v>0</v>
      </c>
      <c r="AV315" s="828"/>
      <c r="AW315" s="944">
        <f t="shared" si="426"/>
        <v>4195</v>
      </c>
      <c r="AX315" s="199"/>
      <c r="AY315" s="199"/>
    </row>
    <row r="316" spans="2:55" s="196" customFormat="1" ht="58.5">
      <c r="B316" s="770"/>
      <c r="C316" s="819" t="s">
        <v>1306</v>
      </c>
      <c r="D316" s="820" t="s">
        <v>589</v>
      </c>
      <c r="E316" s="770" t="s">
        <v>1434</v>
      </c>
      <c r="F316" s="770">
        <v>9</v>
      </c>
      <c r="G316" s="821">
        <v>5005</v>
      </c>
      <c r="H316" s="821"/>
      <c r="I316" s="821"/>
      <c r="J316" s="821"/>
      <c r="K316" s="821"/>
      <c r="L316" s="821"/>
      <c r="M316" s="821"/>
      <c r="N316" s="821"/>
      <c r="O316" s="821"/>
      <c r="P316" s="821"/>
      <c r="Q316" s="821"/>
      <c r="R316" s="821">
        <f t="shared" si="428"/>
        <v>5005</v>
      </c>
      <c r="S316" s="821">
        <v>1</v>
      </c>
      <c r="T316" s="821"/>
      <c r="U316" s="821"/>
      <c r="V316" s="821"/>
      <c r="W316" s="821"/>
      <c r="X316" s="770">
        <v>36</v>
      </c>
      <c r="Y316" s="824">
        <v>0.3</v>
      </c>
      <c r="Z316" s="821">
        <f t="shared" si="429"/>
        <v>1501.5</v>
      </c>
      <c r="AA316" s="821">
        <f>AH316</f>
        <v>193.5</v>
      </c>
      <c r="AB316" s="821">
        <f>(R316+Z316)*S316+AA316</f>
        <v>6700</v>
      </c>
      <c r="AC316" s="825">
        <f t="shared" si="430"/>
        <v>6800</v>
      </c>
      <c r="AD316" s="825">
        <f t="shared" si="431"/>
        <v>13500</v>
      </c>
      <c r="AE316" s="826">
        <f t="shared" si="432"/>
        <v>13500</v>
      </c>
      <c r="AF316" s="826">
        <f t="shared" si="433"/>
        <v>6800</v>
      </c>
      <c r="AG316" s="827">
        <f t="shared" si="434"/>
        <v>6700</v>
      </c>
      <c r="AH316" s="826">
        <f>AG316-(R316*S316)-Z316</f>
        <v>193.5</v>
      </c>
      <c r="AI316" s="828">
        <f t="shared" si="435"/>
        <v>5005</v>
      </c>
      <c r="AJ316" s="828">
        <f t="shared" si="436"/>
        <v>0</v>
      </c>
      <c r="AK316" s="828">
        <f t="shared" si="437"/>
        <v>5005</v>
      </c>
      <c r="AL316" s="828">
        <f t="shared" si="438"/>
        <v>0</v>
      </c>
      <c r="AM316" s="828">
        <f t="shared" si="439"/>
        <v>0</v>
      </c>
      <c r="AN316" s="828">
        <f t="shared" si="440"/>
        <v>0</v>
      </c>
      <c r="AO316" s="830">
        <f t="shared" si="441"/>
        <v>1501.5</v>
      </c>
      <c r="AP316" s="830">
        <f t="shared" si="442"/>
        <v>0</v>
      </c>
      <c r="AQ316" s="830">
        <f t="shared" si="443"/>
        <v>193.5</v>
      </c>
      <c r="AR316" s="830">
        <f t="shared" si="444"/>
        <v>0</v>
      </c>
      <c r="AS316" s="830">
        <f t="shared" si="445"/>
        <v>0</v>
      </c>
      <c r="AT316" s="835">
        <f t="shared" si="376"/>
        <v>5005</v>
      </c>
      <c r="AU316" s="835">
        <f t="shared" si="377"/>
        <v>0</v>
      </c>
      <c r="AV316" s="828"/>
      <c r="AW316" s="944">
        <f t="shared" si="426"/>
        <v>5005</v>
      </c>
    </row>
    <row r="317" spans="2:55" s="196" customFormat="1" ht="58.5">
      <c r="B317" s="770"/>
      <c r="C317" s="819" t="s">
        <v>1306</v>
      </c>
      <c r="D317" s="820" t="s">
        <v>1313</v>
      </c>
      <c r="E317" s="770" t="s">
        <v>1435</v>
      </c>
      <c r="F317" s="770">
        <v>9</v>
      </c>
      <c r="G317" s="821">
        <v>5005</v>
      </c>
      <c r="H317" s="821"/>
      <c r="I317" s="821"/>
      <c r="J317" s="821"/>
      <c r="K317" s="821"/>
      <c r="L317" s="821"/>
      <c r="M317" s="821"/>
      <c r="N317" s="821"/>
      <c r="O317" s="821"/>
      <c r="P317" s="831"/>
      <c r="Q317" s="831"/>
      <c r="R317" s="821">
        <f t="shared" si="428"/>
        <v>5005</v>
      </c>
      <c r="S317" s="821">
        <v>1</v>
      </c>
      <c r="T317" s="821"/>
      <c r="U317" s="831"/>
      <c r="V317" s="831"/>
      <c r="W317" s="831"/>
      <c r="X317" s="770">
        <v>35</v>
      </c>
      <c r="Y317" s="824">
        <v>0.3</v>
      </c>
      <c r="Z317" s="821">
        <f t="shared" si="429"/>
        <v>1501.5</v>
      </c>
      <c r="AA317" s="821">
        <f>AH317</f>
        <v>193.5</v>
      </c>
      <c r="AB317" s="821">
        <f>(R317+Z317)*S317+AA317</f>
        <v>6700</v>
      </c>
      <c r="AC317" s="825">
        <f t="shared" si="430"/>
        <v>6800</v>
      </c>
      <c r="AD317" s="825">
        <f t="shared" si="431"/>
        <v>13500</v>
      </c>
      <c r="AE317" s="826">
        <f t="shared" si="432"/>
        <v>13500</v>
      </c>
      <c r="AF317" s="826">
        <f t="shared" si="433"/>
        <v>6800</v>
      </c>
      <c r="AG317" s="827">
        <f t="shared" si="434"/>
        <v>6700</v>
      </c>
      <c r="AH317" s="826">
        <f>AG317-(R317*S317)-Z317</f>
        <v>193.5</v>
      </c>
      <c r="AI317" s="828">
        <f t="shared" si="435"/>
        <v>5005</v>
      </c>
      <c r="AJ317" s="828">
        <f t="shared" si="436"/>
        <v>0</v>
      </c>
      <c r="AK317" s="828">
        <f t="shared" si="437"/>
        <v>5005</v>
      </c>
      <c r="AL317" s="828">
        <f t="shared" si="438"/>
        <v>0</v>
      </c>
      <c r="AM317" s="828">
        <f t="shared" si="439"/>
        <v>0</v>
      </c>
      <c r="AN317" s="828">
        <f t="shared" si="440"/>
        <v>0</v>
      </c>
      <c r="AO317" s="830">
        <f t="shared" si="441"/>
        <v>1501.5</v>
      </c>
      <c r="AP317" s="830">
        <f t="shared" si="442"/>
        <v>0</v>
      </c>
      <c r="AQ317" s="830">
        <f t="shared" si="443"/>
        <v>193.5</v>
      </c>
      <c r="AR317" s="830">
        <f t="shared" si="444"/>
        <v>0</v>
      </c>
      <c r="AS317" s="830">
        <f t="shared" si="445"/>
        <v>0</v>
      </c>
      <c r="AT317" s="835">
        <f t="shared" si="376"/>
        <v>5005</v>
      </c>
      <c r="AU317" s="835">
        <f t="shared" si="377"/>
        <v>0</v>
      </c>
      <c r="AV317" s="828"/>
      <c r="AW317" s="944">
        <f t="shared" si="426"/>
        <v>5005</v>
      </c>
    </row>
    <row r="318" spans="2:55" s="196" customFormat="1" ht="31.5">
      <c r="B318" s="770"/>
      <c r="C318" s="799" t="s">
        <v>504</v>
      </c>
      <c r="D318" s="832"/>
      <c r="E318" s="812"/>
      <c r="F318" s="812"/>
      <c r="G318" s="802">
        <f>SUM(G312:G317)</f>
        <v>28410</v>
      </c>
      <c r="H318" s="875"/>
      <c r="I318" s="802">
        <f>SUM(I312:I317)</f>
        <v>500.5</v>
      </c>
      <c r="J318" s="813"/>
      <c r="K318" s="812"/>
      <c r="L318" s="812"/>
      <c r="M318" s="813"/>
      <c r="N318" s="812"/>
      <c r="O318" s="813"/>
      <c r="P318" s="812"/>
      <c r="Q318" s="812"/>
      <c r="R318" s="802">
        <f>SUM(R312:R317)</f>
        <v>28910.5</v>
      </c>
      <c r="S318" s="802">
        <f>SUM(S312:S317)</f>
        <v>6</v>
      </c>
      <c r="T318" s="802">
        <f>SUM(T312:T317)</f>
        <v>0</v>
      </c>
      <c r="U318" s="802"/>
      <c r="V318" s="802"/>
      <c r="W318" s="802"/>
      <c r="X318" s="802"/>
      <c r="Y318" s="802"/>
      <c r="Z318" s="802">
        <f t="shared" ref="Z318:AW318" si="446">SUM(Z312:Z317)</f>
        <v>7834.15</v>
      </c>
      <c r="AA318" s="802">
        <f t="shared" si="446"/>
        <v>3912.5</v>
      </c>
      <c r="AB318" s="802">
        <f t="shared" si="446"/>
        <v>40657.15</v>
      </c>
      <c r="AC318" s="802">
        <f t="shared" si="446"/>
        <v>40342.85</v>
      </c>
      <c r="AD318" s="802">
        <f t="shared" si="446"/>
        <v>81000</v>
      </c>
      <c r="AE318" s="802">
        <f t="shared" si="446"/>
        <v>81000</v>
      </c>
      <c r="AF318" s="802">
        <f t="shared" si="446"/>
        <v>40342.85</v>
      </c>
      <c r="AG318" s="802">
        <f t="shared" si="446"/>
        <v>40200</v>
      </c>
      <c r="AH318" s="802">
        <f t="shared" si="446"/>
        <v>3912.5</v>
      </c>
      <c r="AI318" s="802">
        <f t="shared" si="446"/>
        <v>28410</v>
      </c>
      <c r="AJ318" s="802">
        <f t="shared" si="446"/>
        <v>0</v>
      </c>
      <c r="AK318" s="802">
        <f t="shared" si="446"/>
        <v>28910.5</v>
      </c>
      <c r="AL318" s="802">
        <f t="shared" si="446"/>
        <v>0</v>
      </c>
      <c r="AM318" s="802">
        <f t="shared" si="446"/>
        <v>500.5</v>
      </c>
      <c r="AN318" s="802">
        <f t="shared" si="446"/>
        <v>0</v>
      </c>
      <c r="AO318" s="802">
        <f t="shared" si="446"/>
        <v>7834.15</v>
      </c>
      <c r="AP318" s="802">
        <f t="shared" si="446"/>
        <v>0</v>
      </c>
      <c r="AQ318" s="802">
        <f t="shared" si="446"/>
        <v>3912.5</v>
      </c>
      <c r="AR318" s="802">
        <f t="shared" si="446"/>
        <v>0</v>
      </c>
      <c r="AS318" s="802">
        <f t="shared" si="446"/>
        <v>0</v>
      </c>
      <c r="AT318" s="802">
        <f t="shared" si="446"/>
        <v>28910.5</v>
      </c>
      <c r="AU318" s="802">
        <f t="shared" si="446"/>
        <v>0</v>
      </c>
      <c r="AV318" s="802">
        <f t="shared" si="446"/>
        <v>0</v>
      </c>
      <c r="AW318" s="802">
        <f t="shared" si="446"/>
        <v>28910.5</v>
      </c>
    </row>
    <row r="319" spans="2:55" s="196" customFormat="1" ht="33">
      <c r="B319" s="770"/>
      <c r="C319" s="851" t="s">
        <v>802</v>
      </c>
      <c r="D319" s="832"/>
      <c r="E319" s="812"/>
      <c r="F319" s="812"/>
      <c r="G319" s="802"/>
      <c r="H319" s="875"/>
      <c r="I319" s="802"/>
      <c r="J319" s="813"/>
      <c r="K319" s="812"/>
      <c r="L319" s="812"/>
      <c r="M319" s="813"/>
      <c r="N319" s="812"/>
      <c r="O319" s="813"/>
      <c r="P319" s="812"/>
      <c r="Q319" s="812"/>
      <c r="R319" s="802"/>
      <c r="S319" s="802"/>
      <c r="T319" s="802"/>
      <c r="U319" s="802"/>
      <c r="V319" s="802"/>
      <c r="W319" s="802"/>
      <c r="X319" s="802"/>
      <c r="Y319" s="802"/>
      <c r="Z319" s="802"/>
      <c r="AA319" s="802"/>
      <c r="AB319" s="802"/>
      <c r="AC319" s="876"/>
      <c r="AD319" s="876"/>
      <c r="AE319" s="833"/>
      <c r="AF319" s="833"/>
      <c r="AG319" s="818"/>
      <c r="AH319" s="833"/>
      <c r="AI319" s="828"/>
      <c r="AJ319" s="828"/>
      <c r="AK319" s="828"/>
      <c r="AL319" s="828"/>
      <c r="AM319" s="828"/>
      <c r="AN319" s="828"/>
      <c r="AO319" s="830"/>
      <c r="AP319" s="830"/>
      <c r="AQ319" s="830"/>
      <c r="AR319" s="830"/>
      <c r="AS319" s="830"/>
      <c r="AT319" s="835"/>
      <c r="AU319" s="835"/>
      <c r="AV319" s="828"/>
      <c r="AW319" s="944"/>
    </row>
    <row r="320" spans="2:55" s="196" customFormat="1" ht="63">
      <c r="B320" s="770"/>
      <c r="C320" s="819" t="s">
        <v>1471</v>
      </c>
      <c r="D320" s="820"/>
      <c r="E320" s="770" t="s">
        <v>1474</v>
      </c>
      <c r="F320" s="770">
        <v>3</v>
      </c>
      <c r="G320" s="821">
        <v>3414</v>
      </c>
      <c r="H320" s="821"/>
      <c r="I320" s="821"/>
      <c r="J320" s="831"/>
      <c r="K320" s="831"/>
      <c r="L320" s="831"/>
      <c r="M320" s="831"/>
      <c r="N320" s="831"/>
      <c r="O320" s="831"/>
      <c r="P320" s="831"/>
      <c r="Q320" s="831"/>
      <c r="R320" s="821">
        <f>G320+I320+K320+L320+N320+P320+Q320</f>
        <v>3414</v>
      </c>
      <c r="S320" s="821">
        <v>1</v>
      </c>
      <c r="T320" s="831"/>
      <c r="U320" s="831"/>
      <c r="V320" s="824">
        <v>0.1</v>
      </c>
      <c r="W320" s="821">
        <f>R320*V320</f>
        <v>341.40000000000003</v>
      </c>
      <c r="X320" s="770"/>
      <c r="Y320" s="824"/>
      <c r="Z320" s="821"/>
      <c r="AA320" s="821">
        <f>AH320</f>
        <v>3286</v>
      </c>
      <c r="AB320" s="821">
        <f>(R320+Z320+U320+W320)*S320+AA320</f>
        <v>7041.4</v>
      </c>
      <c r="AC320" s="825">
        <f>AF320</f>
        <v>0</v>
      </c>
      <c r="AD320" s="825">
        <f>AB320+AC320</f>
        <v>7041.4</v>
      </c>
      <c r="AE320" s="826">
        <f>AB320</f>
        <v>7041.4</v>
      </c>
      <c r="AF320" s="826">
        <f>AE320-AB320</f>
        <v>0</v>
      </c>
      <c r="AG320" s="827">
        <f>6700*S320</f>
        <v>6700</v>
      </c>
      <c r="AH320" s="826">
        <f>AG320-(R320*S320)</f>
        <v>3286</v>
      </c>
      <c r="AI320" s="828">
        <f>G320*S320</f>
        <v>3414</v>
      </c>
      <c r="AJ320" s="828">
        <f>G320*T320</f>
        <v>0</v>
      </c>
      <c r="AK320" s="828">
        <f>R320*S320</f>
        <v>3414</v>
      </c>
      <c r="AL320" s="828">
        <f>R320*T320</f>
        <v>0</v>
      </c>
      <c r="AM320" s="828">
        <f t="shared" ref="AM320:AN324" si="447">AK320-AI320</f>
        <v>0</v>
      </c>
      <c r="AN320" s="828">
        <f t="shared" si="447"/>
        <v>0</v>
      </c>
      <c r="AO320" s="830">
        <f>Z320*S320</f>
        <v>0</v>
      </c>
      <c r="AP320" s="830">
        <f>Z320*T320</f>
        <v>0</v>
      </c>
      <c r="AQ320" s="830">
        <f>AA320</f>
        <v>3286</v>
      </c>
      <c r="AR320" s="830">
        <f>W320*S320</f>
        <v>341.40000000000003</v>
      </c>
      <c r="AS320" s="830">
        <f>W320*T320</f>
        <v>0</v>
      </c>
      <c r="AT320" s="835">
        <f t="shared" si="376"/>
        <v>3414</v>
      </c>
      <c r="AU320" s="835">
        <f t="shared" si="377"/>
        <v>0</v>
      </c>
      <c r="AV320" s="828"/>
      <c r="AW320" s="944">
        <f>AT320+AU320-AV320</f>
        <v>3414</v>
      </c>
    </row>
    <row r="321" spans="2:55" s="196" customFormat="1" ht="63">
      <c r="B321" s="770"/>
      <c r="C321" s="819" t="s">
        <v>1471</v>
      </c>
      <c r="D321" s="820"/>
      <c r="E321" s="770" t="s">
        <v>1475</v>
      </c>
      <c r="F321" s="770">
        <v>3</v>
      </c>
      <c r="G321" s="821">
        <v>3414</v>
      </c>
      <c r="H321" s="821"/>
      <c r="I321" s="821"/>
      <c r="J321" s="821"/>
      <c r="K321" s="821"/>
      <c r="L321" s="821"/>
      <c r="M321" s="821"/>
      <c r="N321" s="821"/>
      <c r="O321" s="821"/>
      <c r="P321" s="821"/>
      <c r="Q321" s="821"/>
      <c r="R321" s="821">
        <f>G321+I321+K321+L321+N321+P321+Q321</f>
        <v>3414</v>
      </c>
      <c r="S321" s="821">
        <v>1</v>
      </c>
      <c r="T321" s="831"/>
      <c r="U321" s="831"/>
      <c r="V321" s="824">
        <v>0.1</v>
      </c>
      <c r="W321" s="821">
        <f>R321*V321</f>
        <v>341.40000000000003</v>
      </c>
      <c r="X321" s="770"/>
      <c r="Y321" s="824"/>
      <c r="Z321" s="821"/>
      <c r="AA321" s="821">
        <f>AH321</f>
        <v>3286</v>
      </c>
      <c r="AB321" s="821">
        <f>(R321+Z321+U321+W321)*S321+AA321</f>
        <v>7041.4</v>
      </c>
      <c r="AC321" s="825">
        <f>AF321</f>
        <v>0</v>
      </c>
      <c r="AD321" s="825">
        <f>AB321+AC321</f>
        <v>7041.4</v>
      </c>
      <c r="AE321" s="826">
        <f>AB321</f>
        <v>7041.4</v>
      </c>
      <c r="AF321" s="826">
        <f>AE321-AB321</f>
        <v>0</v>
      </c>
      <c r="AG321" s="827">
        <f>6700*S321</f>
        <v>6700</v>
      </c>
      <c r="AH321" s="826">
        <f>AG321-(R321*S321)</f>
        <v>3286</v>
      </c>
      <c r="AI321" s="828">
        <f>G321*S321</f>
        <v>3414</v>
      </c>
      <c r="AJ321" s="828">
        <f>G321*T321</f>
        <v>0</v>
      </c>
      <c r="AK321" s="828">
        <f>R321*S321</f>
        <v>3414</v>
      </c>
      <c r="AL321" s="828">
        <f>R321*T321</f>
        <v>0</v>
      </c>
      <c r="AM321" s="828">
        <f t="shared" si="447"/>
        <v>0</v>
      </c>
      <c r="AN321" s="828">
        <f t="shared" si="447"/>
        <v>0</v>
      </c>
      <c r="AO321" s="830">
        <f>Z321*S321</f>
        <v>0</v>
      </c>
      <c r="AP321" s="830">
        <f>Z321*T321</f>
        <v>0</v>
      </c>
      <c r="AQ321" s="830">
        <f>AA321</f>
        <v>3286</v>
      </c>
      <c r="AR321" s="830">
        <f>W321*S321</f>
        <v>341.40000000000003</v>
      </c>
      <c r="AS321" s="830">
        <f>W321*T321</f>
        <v>0</v>
      </c>
      <c r="AT321" s="835">
        <f t="shared" si="376"/>
        <v>3414</v>
      </c>
      <c r="AU321" s="835">
        <f t="shared" si="377"/>
        <v>0</v>
      </c>
      <c r="AV321" s="828"/>
      <c r="AW321" s="944">
        <f>AT321+AU321-AV321</f>
        <v>3414</v>
      </c>
    </row>
    <row r="322" spans="2:55" s="196" customFormat="1" ht="63">
      <c r="B322" s="770"/>
      <c r="C322" s="819" t="s">
        <v>1471</v>
      </c>
      <c r="D322" s="820"/>
      <c r="E322" s="770" t="s">
        <v>1476</v>
      </c>
      <c r="F322" s="770">
        <v>3</v>
      </c>
      <c r="G322" s="821">
        <v>3414</v>
      </c>
      <c r="H322" s="821"/>
      <c r="I322" s="821"/>
      <c r="J322" s="821"/>
      <c r="K322" s="821"/>
      <c r="L322" s="821"/>
      <c r="M322" s="821"/>
      <c r="N322" s="821"/>
      <c r="O322" s="821"/>
      <c r="P322" s="821"/>
      <c r="Q322" s="821"/>
      <c r="R322" s="821">
        <f>G322+I322+K322+L322+N322+P322+Q322</f>
        <v>3414</v>
      </c>
      <c r="S322" s="821">
        <v>1</v>
      </c>
      <c r="T322" s="821"/>
      <c r="U322" s="821"/>
      <c r="V322" s="824">
        <v>0.1</v>
      </c>
      <c r="W322" s="821">
        <f>R322*V322</f>
        <v>341.40000000000003</v>
      </c>
      <c r="X322" s="770"/>
      <c r="Y322" s="824"/>
      <c r="Z322" s="821"/>
      <c r="AA322" s="821">
        <f>AH322</f>
        <v>3286</v>
      </c>
      <c r="AB322" s="821">
        <f>(R322+Z322+U322+W322)*S322+AA322</f>
        <v>7041.4</v>
      </c>
      <c r="AC322" s="825">
        <f>AF322</f>
        <v>0</v>
      </c>
      <c r="AD322" s="825">
        <f>AB322+AC322</f>
        <v>7041.4</v>
      </c>
      <c r="AE322" s="826">
        <f>AB322</f>
        <v>7041.4</v>
      </c>
      <c r="AF322" s="826">
        <f>AE322-AB322</f>
        <v>0</v>
      </c>
      <c r="AG322" s="827">
        <f>6700*S322</f>
        <v>6700</v>
      </c>
      <c r="AH322" s="826">
        <f>AG322-(R322*S322)</f>
        <v>3286</v>
      </c>
      <c r="AI322" s="828">
        <f>G322*S322</f>
        <v>3414</v>
      </c>
      <c r="AJ322" s="828">
        <f>G322*T322</f>
        <v>0</v>
      </c>
      <c r="AK322" s="828">
        <f>R322*S322</f>
        <v>3414</v>
      </c>
      <c r="AL322" s="828">
        <f>R322*T322</f>
        <v>0</v>
      </c>
      <c r="AM322" s="828">
        <f t="shared" si="447"/>
        <v>0</v>
      </c>
      <c r="AN322" s="828">
        <f t="shared" si="447"/>
        <v>0</v>
      </c>
      <c r="AO322" s="830">
        <f>Z322*S322</f>
        <v>0</v>
      </c>
      <c r="AP322" s="830">
        <f>Z322*T322</f>
        <v>0</v>
      </c>
      <c r="AQ322" s="830">
        <f>AA322</f>
        <v>3286</v>
      </c>
      <c r="AR322" s="830">
        <f>W322*S322</f>
        <v>341.40000000000003</v>
      </c>
      <c r="AS322" s="830">
        <f>W322*T322</f>
        <v>0</v>
      </c>
      <c r="AT322" s="835">
        <f t="shared" si="376"/>
        <v>3414</v>
      </c>
      <c r="AU322" s="835">
        <f t="shared" si="377"/>
        <v>0</v>
      </c>
      <c r="AV322" s="828"/>
      <c r="AW322" s="944">
        <f>AT322+AU322-AV322</f>
        <v>3414</v>
      </c>
    </row>
    <row r="323" spans="2:55" s="196" customFormat="1" ht="63">
      <c r="B323" s="770"/>
      <c r="C323" s="819" t="s">
        <v>1471</v>
      </c>
      <c r="D323" s="820"/>
      <c r="E323" s="770" t="s">
        <v>1477</v>
      </c>
      <c r="F323" s="770">
        <v>3</v>
      </c>
      <c r="G323" s="821">
        <v>3414</v>
      </c>
      <c r="H323" s="821"/>
      <c r="I323" s="821"/>
      <c r="J323" s="821"/>
      <c r="K323" s="821"/>
      <c r="L323" s="821"/>
      <c r="M323" s="821"/>
      <c r="N323" s="821"/>
      <c r="O323" s="821"/>
      <c r="P323" s="821"/>
      <c r="Q323" s="821"/>
      <c r="R323" s="821">
        <f>G323+I323+K323+L323+N323+P323+Q323</f>
        <v>3414</v>
      </c>
      <c r="S323" s="821">
        <v>1</v>
      </c>
      <c r="T323" s="821"/>
      <c r="U323" s="821"/>
      <c r="V323" s="824">
        <v>0.1</v>
      </c>
      <c r="W323" s="821">
        <f>R323*V323</f>
        <v>341.40000000000003</v>
      </c>
      <c r="X323" s="770"/>
      <c r="Y323" s="824"/>
      <c r="Z323" s="821"/>
      <c r="AA323" s="821">
        <f>AH323</f>
        <v>3286</v>
      </c>
      <c r="AB323" s="821">
        <f>(R323+Z323+U323+W323)*S323+AA323</f>
        <v>7041.4</v>
      </c>
      <c r="AC323" s="825">
        <f>AF323</f>
        <v>0</v>
      </c>
      <c r="AD323" s="825">
        <f>AB323+AC323</f>
        <v>7041.4</v>
      </c>
      <c r="AE323" s="826">
        <f>AB323</f>
        <v>7041.4</v>
      </c>
      <c r="AF323" s="826">
        <f>AE323-AB323</f>
        <v>0</v>
      </c>
      <c r="AG323" s="827">
        <f>6700*S323</f>
        <v>6700</v>
      </c>
      <c r="AH323" s="826">
        <f>AG323-(R323*S323)</f>
        <v>3286</v>
      </c>
      <c r="AI323" s="828">
        <f>G323*S323</f>
        <v>3414</v>
      </c>
      <c r="AJ323" s="828">
        <f>G323*T323</f>
        <v>0</v>
      </c>
      <c r="AK323" s="828">
        <f>R323*S323</f>
        <v>3414</v>
      </c>
      <c r="AL323" s="828">
        <f>R323*T323</f>
        <v>0</v>
      </c>
      <c r="AM323" s="828">
        <f t="shared" si="447"/>
        <v>0</v>
      </c>
      <c r="AN323" s="828">
        <f t="shared" si="447"/>
        <v>0</v>
      </c>
      <c r="AO323" s="830">
        <f>Z323*S323</f>
        <v>0</v>
      </c>
      <c r="AP323" s="830">
        <f>Z323*T323</f>
        <v>0</v>
      </c>
      <c r="AQ323" s="830">
        <f>AA323</f>
        <v>3286</v>
      </c>
      <c r="AR323" s="830">
        <f>W323*S323</f>
        <v>341.40000000000003</v>
      </c>
      <c r="AS323" s="830">
        <f>W323*T323</f>
        <v>0</v>
      </c>
      <c r="AT323" s="835">
        <f t="shared" si="376"/>
        <v>3414</v>
      </c>
      <c r="AU323" s="835">
        <f t="shared" si="377"/>
        <v>0</v>
      </c>
      <c r="AV323" s="828"/>
      <c r="AW323" s="944">
        <f>AT323+AU323-AV323</f>
        <v>3414</v>
      </c>
    </row>
    <row r="324" spans="2:55" s="196" customFormat="1" ht="63">
      <c r="B324" s="770"/>
      <c r="C324" s="819" t="s">
        <v>1471</v>
      </c>
      <c r="D324" s="820"/>
      <c r="E324" s="770" t="s">
        <v>1384</v>
      </c>
      <c r="F324" s="770">
        <v>3</v>
      </c>
      <c r="G324" s="821">
        <v>3414</v>
      </c>
      <c r="H324" s="821"/>
      <c r="I324" s="821"/>
      <c r="J324" s="821"/>
      <c r="K324" s="821"/>
      <c r="L324" s="821"/>
      <c r="M324" s="821"/>
      <c r="N324" s="821"/>
      <c r="O324" s="821"/>
      <c r="P324" s="821"/>
      <c r="Q324" s="821"/>
      <c r="R324" s="821">
        <f>G324+I324+K324+L324+N324+P324+Q324</f>
        <v>3414</v>
      </c>
      <c r="S324" s="821">
        <v>1</v>
      </c>
      <c r="T324" s="821"/>
      <c r="U324" s="821"/>
      <c r="V324" s="824">
        <v>0.1</v>
      </c>
      <c r="W324" s="821">
        <f>R324*V324</f>
        <v>341.40000000000003</v>
      </c>
      <c r="X324" s="770"/>
      <c r="Y324" s="824"/>
      <c r="Z324" s="821"/>
      <c r="AA324" s="821">
        <f>AH324</f>
        <v>3286</v>
      </c>
      <c r="AB324" s="821">
        <f>(R324+Z324+U324+W324)*S324+AA324</f>
        <v>7041.4</v>
      </c>
      <c r="AC324" s="825">
        <f>AF324</f>
        <v>0</v>
      </c>
      <c r="AD324" s="825">
        <f>AB324+AC324</f>
        <v>7041.4</v>
      </c>
      <c r="AE324" s="826">
        <f>AB324</f>
        <v>7041.4</v>
      </c>
      <c r="AF324" s="826">
        <f>AE324-AB324</f>
        <v>0</v>
      </c>
      <c r="AG324" s="827">
        <f>6700*S324</f>
        <v>6700</v>
      </c>
      <c r="AH324" s="826">
        <f>AG324-(R324*S324)</f>
        <v>3286</v>
      </c>
      <c r="AI324" s="828">
        <f>G324*S324</f>
        <v>3414</v>
      </c>
      <c r="AJ324" s="828">
        <f>G324*T324</f>
        <v>0</v>
      </c>
      <c r="AK324" s="828">
        <f>R324*S324</f>
        <v>3414</v>
      </c>
      <c r="AL324" s="828">
        <f>R324*T324</f>
        <v>0</v>
      </c>
      <c r="AM324" s="828">
        <f t="shared" si="447"/>
        <v>0</v>
      </c>
      <c r="AN324" s="828">
        <f t="shared" si="447"/>
        <v>0</v>
      </c>
      <c r="AO324" s="830">
        <f>Z324*S324</f>
        <v>0</v>
      </c>
      <c r="AP324" s="830">
        <f>Z324*T324</f>
        <v>0</v>
      </c>
      <c r="AQ324" s="830">
        <f>AA324</f>
        <v>3286</v>
      </c>
      <c r="AR324" s="830">
        <f>W324*S324</f>
        <v>341.40000000000003</v>
      </c>
      <c r="AS324" s="830">
        <f>W324*T324</f>
        <v>0</v>
      </c>
      <c r="AT324" s="835">
        <f t="shared" si="376"/>
        <v>3414</v>
      </c>
      <c r="AU324" s="835">
        <f t="shared" si="377"/>
        <v>0</v>
      </c>
      <c r="AV324" s="828"/>
      <c r="AW324" s="944">
        <f>AT324+AU324-AV324</f>
        <v>3414</v>
      </c>
    </row>
    <row r="325" spans="2:55" s="196" customFormat="1" ht="31.5">
      <c r="B325" s="770"/>
      <c r="C325" s="799" t="s">
        <v>504</v>
      </c>
      <c r="D325" s="832"/>
      <c r="E325" s="812"/>
      <c r="F325" s="812"/>
      <c r="G325" s="802">
        <f>SUM(G320:G324)</f>
        <v>17070</v>
      </c>
      <c r="H325" s="813"/>
      <c r="I325" s="812"/>
      <c r="J325" s="813"/>
      <c r="K325" s="812"/>
      <c r="L325" s="812"/>
      <c r="M325" s="813"/>
      <c r="N325" s="812"/>
      <c r="O325" s="813"/>
      <c r="P325" s="812"/>
      <c r="Q325" s="812"/>
      <c r="R325" s="802">
        <f>SUM(R320:R324)</f>
        <v>17070</v>
      </c>
      <c r="S325" s="802">
        <f>SUM(S320:S324)</f>
        <v>5</v>
      </c>
      <c r="T325" s="802">
        <f>SUM(T320:T324)</f>
        <v>0</v>
      </c>
      <c r="U325" s="802"/>
      <c r="V325" s="802"/>
      <c r="W325" s="802">
        <f>SUM(W320:W324)</f>
        <v>1707.0000000000002</v>
      </c>
      <c r="X325" s="802"/>
      <c r="Y325" s="802"/>
      <c r="Z325" s="802"/>
      <c r="AA325" s="802">
        <f>SUM(AA320:AA324)</f>
        <v>16430</v>
      </c>
      <c r="AB325" s="802">
        <f>SUM(AB320:AB324)</f>
        <v>35207</v>
      </c>
      <c r="AC325" s="802">
        <f t="shared" ref="AC325:AW325" si="448">SUM(AC320:AC324)</f>
        <v>0</v>
      </c>
      <c r="AD325" s="802">
        <f t="shared" si="448"/>
        <v>35207</v>
      </c>
      <c r="AE325" s="802">
        <f t="shared" si="448"/>
        <v>35207</v>
      </c>
      <c r="AF325" s="802">
        <f t="shared" si="448"/>
        <v>0</v>
      </c>
      <c r="AG325" s="802">
        <f t="shared" si="448"/>
        <v>33500</v>
      </c>
      <c r="AH325" s="802">
        <f t="shared" si="448"/>
        <v>16430</v>
      </c>
      <c r="AI325" s="802">
        <f t="shared" si="448"/>
        <v>17070</v>
      </c>
      <c r="AJ325" s="802">
        <f t="shared" si="448"/>
        <v>0</v>
      </c>
      <c r="AK325" s="802">
        <f t="shared" si="448"/>
        <v>17070</v>
      </c>
      <c r="AL325" s="802">
        <f t="shared" si="448"/>
        <v>0</v>
      </c>
      <c r="AM325" s="802">
        <f t="shared" si="448"/>
        <v>0</v>
      </c>
      <c r="AN325" s="802">
        <f t="shared" si="448"/>
        <v>0</v>
      </c>
      <c r="AO325" s="802">
        <f t="shared" si="448"/>
        <v>0</v>
      </c>
      <c r="AP325" s="802">
        <f t="shared" si="448"/>
        <v>0</v>
      </c>
      <c r="AQ325" s="802">
        <f t="shared" si="448"/>
        <v>16430</v>
      </c>
      <c r="AR325" s="802">
        <f t="shared" si="448"/>
        <v>1707.0000000000002</v>
      </c>
      <c r="AS325" s="802">
        <f t="shared" si="448"/>
        <v>0</v>
      </c>
      <c r="AT325" s="802">
        <f t="shared" si="448"/>
        <v>17070</v>
      </c>
      <c r="AU325" s="802">
        <f t="shared" si="448"/>
        <v>0</v>
      </c>
      <c r="AV325" s="802">
        <f t="shared" si="448"/>
        <v>0</v>
      </c>
      <c r="AW325" s="802">
        <f t="shared" si="448"/>
        <v>17070</v>
      </c>
    </row>
    <row r="326" spans="2:55" s="196" customFormat="1" ht="31.5">
      <c r="B326" s="770"/>
      <c r="C326" s="799" t="s">
        <v>1547</v>
      </c>
      <c r="D326" s="832"/>
      <c r="E326" s="812"/>
      <c r="F326" s="812"/>
      <c r="G326" s="802">
        <f>G310+G318+G325</f>
        <v>56010</v>
      </c>
      <c r="H326" s="802"/>
      <c r="I326" s="802">
        <f>I310+I318+I325</f>
        <v>500.5</v>
      </c>
      <c r="J326" s="802"/>
      <c r="K326" s="802"/>
      <c r="L326" s="802"/>
      <c r="M326" s="802"/>
      <c r="N326" s="802"/>
      <c r="O326" s="802"/>
      <c r="P326" s="802"/>
      <c r="Q326" s="802"/>
      <c r="R326" s="802">
        <f>R310+R318+R325</f>
        <v>56510.5</v>
      </c>
      <c r="S326" s="802">
        <f>S310+S318+S325</f>
        <v>13</v>
      </c>
      <c r="T326" s="802">
        <f>T310+T318+T325</f>
        <v>0</v>
      </c>
      <c r="U326" s="802"/>
      <c r="V326" s="802"/>
      <c r="W326" s="802">
        <f>W310+W318+W325</f>
        <v>1707.0000000000002</v>
      </c>
      <c r="X326" s="802"/>
      <c r="Y326" s="802"/>
      <c r="Z326" s="802"/>
      <c r="AA326" s="802">
        <f>AA310+AA318+AA325</f>
        <v>23212.5</v>
      </c>
      <c r="AB326" s="802">
        <f>AB310+AB318+AB325</f>
        <v>89264.15</v>
      </c>
      <c r="AC326" s="802">
        <f t="shared" ref="AC326:AW326" si="449">AC310+AC318+AC325</f>
        <v>66942.850000000006</v>
      </c>
      <c r="AD326" s="802">
        <f t="shared" si="449"/>
        <v>156207</v>
      </c>
      <c r="AE326" s="802">
        <f t="shared" si="449"/>
        <v>156207</v>
      </c>
      <c r="AF326" s="802">
        <f t="shared" si="449"/>
        <v>66942.850000000006</v>
      </c>
      <c r="AG326" s="802">
        <f t="shared" si="449"/>
        <v>87100</v>
      </c>
      <c r="AH326" s="802">
        <f t="shared" si="449"/>
        <v>23212.5</v>
      </c>
      <c r="AI326" s="802">
        <f t="shared" si="449"/>
        <v>56010</v>
      </c>
      <c r="AJ326" s="802">
        <f t="shared" si="449"/>
        <v>0</v>
      </c>
      <c r="AK326" s="802">
        <f t="shared" si="449"/>
        <v>56510.5</v>
      </c>
      <c r="AL326" s="802">
        <f t="shared" si="449"/>
        <v>0</v>
      </c>
      <c r="AM326" s="802">
        <f t="shared" si="449"/>
        <v>500.5</v>
      </c>
      <c r="AN326" s="802">
        <f t="shared" si="449"/>
        <v>0</v>
      </c>
      <c r="AO326" s="802">
        <f t="shared" si="449"/>
        <v>8887.15</v>
      </c>
      <c r="AP326" s="802">
        <f t="shared" si="449"/>
        <v>0</v>
      </c>
      <c r="AQ326" s="802">
        <f t="shared" si="449"/>
        <v>23212.5</v>
      </c>
      <c r="AR326" s="802">
        <f t="shared" si="449"/>
        <v>1707.0000000000002</v>
      </c>
      <c r="AS326" s="802">
        <f t="shared" si="449"/>
        <v>0</v>
      </c>
      <c r="AT326" s="802">
        <f t="shared" si="449"/>
        <v>56510.5</v>
      </c>
      <c r="AU326" s="802">
        <f t="shared" si="449"/>
        <v>0</v>
      </c>
      <c r="AV326" s="802">
        <f t="shared" si="449"/>
        <v>0</v>
      </c>
      <c r="AW326" s="802">
        <f t="shared" si="449"/>
        <v>56510.5</v>
      </c>
    </row>
    <row r="327" spans="2:55" s="196" customFormat="1" ht="33">
      <c r="B327" s="770"/>
      <c r="C327" s="810" t="s">
        <v>1436</v>
      </c>
      <c r="D327" s="811"/>
      <c r="E327" s="812"/>
      <c r="F327" s="812"/>
      <c r="G327" s="812"/>
      <c r="H327" s="813"/>
      <c r="I327" s="812"/>
      <c r="J327" s="813"/>
      <c r="K327" s="812"/>
      <c r="L327" s="812"/>
      <c r="M327" s="813"/>
      <c r="N327" s="812"/>
      <c r="O327" s="813"/>
      <c r="P327" s="812"/>
      <c r="Q327" s="812"/>
      <c r="R327" s="812"/>
      <c r="S327" s="812"/>
      <c r="T327" s="812"/>
      <c r="U327" s="812"/>
      <c r="V327" s="812"/>
      <c r="W327" s="812"/>
      <c r="X327" s="812"/>
      <c r="Y327" s="812"/>
      <c r="Z327" s="812"/>
      <c r="AA327" s="812"/>
      <c r="AB327" s="812"/>
      <c r="AC327" s="834"/>
      <c r="AD327" s="834"/>
      <c r="AE327" s="815"/>
      <c r="AF327" s="815"/>
      <c r="AG327" s="816"/>
      <c r="AH327" s="815"/>
      <c r="AI327" s="828"/>
      <c r="AJ327" s="828"/>
      <c r="AK327" s="828"/>
      <c r="AL327" s="828"/>
      <c r="AM327" s="828"/>
      <c r="AN327" s="828"/>
      <c r="AO327" s="830"/>
      <c r="AP327" s="830"/>
      <c r="AQ327" s="830"/>
      <c r="AR327" s="830"/>
      <c r="AS327" s="830"/>
      <c r="AT327" s="835"/>
      <c r="AU327" s="835"/>
      <c r="AV327" s="828"/>
      <c r="AW327" s="944"/>
    </row>
    <row r="328" spans="2:55" s="196" customFormat="1" ht="33">
      <c r="B328" s="770"/>
      <c r="C328" s="851" t="s">
        <v>1988</v>
      </c>
      <c r="D328" s="811"/>
      <c r="E328" s="812"/>
      <c r="F328" s="812"/>
      <c r="G328" s="812"/>
      <c r="H328" s="813"/>
      <c r="I328" s="812"/>
      <c r="J328" s="813"/>
      <c r="K328" s="812"/>
      <c r="L328" s="812"/>
      <c r="M328" s="813"/>
      <c r="N328" s="812"/>
      <c r="O328" s="813"/>
      <c r="P328" s="812"/>
      <c r="Q328" s="812"/>
      <c r="R328" s="812"/>
      <c r="S328" s="812"/>
      <c r="T328" s="812"/>
      <c r="U328" s="812"/>
      <c r="V328" s="812"/>
      <c r="W328" s="812"/>
      <c r="X328" s="812"/>
      <c r="Y328" s="812"/>
      <c r="Z328" s="812"/>
      <c r="AA328" s="812"/>
      <c r="AB328" s="812"/>
      <c r="AC328" s="834"/>
      <c r="AD328" s="834"/>
      <c r="AE328" s="815"/>
      <c r="AF328" s="815"/>
      <c r="AG328" s="816"/>
      <c r="AH328" s="815"/>
      <c r="AI328" s="828"/>
      <c r="AJ328" s="828"/>
      <c r="AK328" s="828"/>
      <c r="AL328" s="828"/>
      <c r="AM328" s="828"/>
      <c r="AN328" s="828"/>
      <c r="AO328" s="830"/>
      <c r="AP328" s="830"/>
      <c r="AQ328" s="830"/>
      <c r="AR328" s="830"/>
      <c r="AS328" s="830"/>
      <c r="AT328" s="835"/>
      <c r="AU328" s="835"/>
      <c r="AV328" s="828"/>
      <c r="AW328" s="944"/>
    </row>
    <row r="329" spans="2:55" s="196" customFormat="1" ht="58.5">
      <c r="B329" s="770"/>
      <c r="C329" s="819" t="s">
        <v>1437</v>
      </c>
      <c r="D329" s="820" t="s">
        <v>1322</v>
      </c>
      <c r="E329" s="770" t="s">
        <v>1438</v>
      </c>
      <c r="F329" s="770">
        <v>9</v>
      </c>
      <c r="G329" s="821">
        <v>5005</v>
      </c>
      <c r="H329" s="821"/>
      <c r="I329" s="821"/>
      <c r="J329" s="821"/>
      <c r="K329" s="821"/>
      <c r="L329" s="821"/>
      <c r="M329" s="821"/>
      <c r="N329" s="821"/>
      <c r="O329" s="821"/>
      <c r="P329" s="821"/>
      <c r="Q329" s="831"/>
      <c r="R329" s="821">
        <f>G329+I329+K329+L329+N329+P329+Q329</f>
        <v>5005</v>
      </c>
      <c r="S329" s="821">
        <v>1</v>
      </c>
      <c r="T329" s="821"/>
      <c r="U329" s="831"/>
      <c r="V329" s="831"/>
      <c r="W329" s="831"/>
      <c r="X329" s="770">
        <v>31</v>
      </c>
      <c r="Y329" s="824">
        <v>0.3</v>
      </c>
      <c r="Z329" s="821">
        <f>R329*Y329</f>
        <v>1501.5</v>
      </c>
      <c r="AA329" s="821">
        <f>AH329</f>
        <v>193.5</v>
      </c>
      <c r="AB329" s="821">
        <f>(R329+Z329)*S329+AA329</f>
        <v>6700</v>
      </c>
      <c r="AC329" s="825">
        <f>AF329</f>
        <v>6800</v>
      </c>
      <c r="AD329" s="825">
        <f>AB329+AC329</f>
        <v>13500</v>
      </c>
      <c r="AE329" s="826">
        <f>13500*S329</f>
        <v>13500</v>
      </c>
      <c r="AF329" s="826">
        <f>AE329-AB329</f>
        <v>6800</v>
      </c>
      <c r="AG329" s="827">
        <f>6700*S329</f>
        <v>6700</v>
      </c>
      <c r="AH329" s="826">
        <f>AG329-(R329*S329)-Z329</f>
        <v>193.5</v>
      </c>
      <c r="AI329" s="828">
        <f>G329*S329</f>
        <v>5005</v>
      </c>
      <c r="AJ329" s="828">
        <f>G329*T329</f>
        <v>0</v>
      </c>
      <c r="AK329" s="828">
        <f>R329*S329</f>
        <v>5005</v>
      </c>
      <c r="AL329" s="828">
        <f>R329*T329</f>
        <v>0</v>
      </c>
      <c r="AM329" s="828">
        <f>AK329-AI329</f>
        <v>0</v>
      </c>
      <c r="AN329" s="828">
        <f>AL329-AJ329</f>
        <v>0</v>
      </c>
      <c r="AO329" s="830">
        <f>Z329*S329</f>
        <v>1501.5</v>
      </c>
      <c r="AP329" s="830">
        <f>Z329*T329</f>
        <v>0</v>
      </c>
      <c r="AQ329" s="830">
        <f>AA329</f>
        <v>193.5</v>
      </c>
      <c r="AR329" s="830">
        <f>W329*S329</f>
        <v>0</v>
      </c>
      <c r="AS329" s="830">
        <f>W329*T329</f>
        <v>0</v>
      </c>
      <c r="AT329" s="835">
        <f t="shared" si="376"/>
        <v>5005</v>
      </c>
      <c r="AU329" s="835">
        <f t="shared" si="377"/>
        <v>0</v>
      </c>
      <c r="AV329" s="828"/>
      <c r="AW329" s="944">
        <f>AT329+AU329-AV329</f>
        <v>5005</v>
      </c>
    </row>
    <row r="330" spans="2:55" s="196" customFormat="1" ht="31.5">
      <c r="B330" s="770"/>
      <c r="C330" s="799" t="s">
        <v>504</v>
      </c>
      <c r="D330" s="832"/>
      <c r="E330" s="812"/>
      <c r="F330" s="812"/>
      <c r="G330" s="802">
        <f>SUM(G329)</f>
        <v>5005</v>
      </c>
      <c r="H330" s="813"/>
      <c r="I330" s="812"/>
      <c r="J330" s="813"/>
      <c r="K330" s="812"/>
      <c r="L330" s="812"/>
      <c r="M330" s="813"/>
      <c r="N330" s="812"/>
      <c r="O330" s="813"/>
      <c r="P330" s="812"/>
      <c r="Q330" s="812"/>
      <c r="R330" s="802">
        <f>SUM(R329:R329)</f>
        <v>5005</v>
      </c>
      <c r="S330" s="802">
        <f>SUM(S329:S329)</f>
        <v>1</v>
      </c>
      <c r="T330" s="802">
        <f>SUM(T329:T329)</f>
        <v>0</v>
      </c>
      <c r="U330" s="802"/>
      <c r="V330" s="802"/>
      <c r="W330" s="802"/>
      <c r="X330" s="802"/>
      <c r="Y330" s="802"/>
      <c r="Z330" s="802">
        <f>SUM(Z329:Z329)</f>
        <v>1501.5</v>
      </c>
      <c r="AA330" s="802">
        <f>SUM(AA329:AA329)</f>
        <v>193.5</v>
      </c>
      <c r="AB330" s="802">
        <f>SUM(AB329:AB329)</f>
        <v>6700</v>
      </c>
      <c r="AC330" s="802">
        <f t="shared" ref="AC330:AW330" si="450">SUM(AC329:AC329)</f>
        <v>6800</v>
      </c>
      <c r="AD330" s="802">
        <f t="shared" si="450"/>
        <v>13500</v>
      </c>
      <c r="AE330" s="802">
        <f t="shared" si="450"/>
        <v>13500</v>
      </c>
      <c r="AF330" s="802">
        <f t="shared" si="450"/>
        <v>6800</v>
      </c>
      <c r="AG330" s="802">
        <f t="shared" si="450"/>
        <v>6700</v>
      </c>
      <c r="AH330" s="802">
        <f t="shared" si="450"/>
        <v>193.5</v>
      </c>
      <c r="AI330" s="802">
        <f t="shared" si="450"/>
        <v>5005</v>
      </c>
      <c r="AJ330" s="802">
        <f t="shared" si="450"/>
        <v>0</v>
      </c>
      <c r="AK330" s="802">
        <f t="shared" si="450"/>
        <v>5005</v>
      </c>
      <c r="AL330" s="802">
        <f t="shared" si="450"/>
        <v>0</v>
      </c>
      <c r="AM330" s="802">
        <f t="shared" si="450"/>
        <v>0</v>
      </c>
      <c r="AN330" s="802">
        <f t="shared" si="450"/>
        <v>0</v>
      </c>
      <c r="AO330" s="802">
        <f t="shared" si="450"/>
        <v>1501.5</v>
      </c>
      <c r="AP330" s="802">
        <f t="shared" si="450"/>
        <v>0</v>
      </c>
      <c r="AQ330" s="802">
        <f t="shared" si="450"/>
        <v>193.5</v>
      </c>
      <c r="AR330" s="802">
        <f t="shared" si="450"/>
        <v>0</v>
      </c>
      <c r="AS330" s="802">
        <f t="shared" si="450"/>
        <v>0</v>
      </c>
      <c r="AT330" s="802">
        <f t="shared" si="450"/>
        <v>5005</v>
      </c>
      <c r="AU330" s="802">
        <f t="shared" si="450"/>
        <v>0</v>
      </c>
      <c r="AV330" s="802">
        <f t="shared" si="450"/>
        <v>0</v>
      </c>
      <c r="AW330" s="802">
        <f t="shared" si="450"/>
        <v>5005</v>
      </c>
    </row>
    <row r="331" spans="2:55" s="196" customFormat="1" ht="31.5">
      <c r="B331" s="770"/>
      <c r="C331" s="799" t="s">
        <v>1547</v>
      </c>
      <c r="D331" s="832"/>
      <c r="E331" s="812"/>
      <c r="F331" s="812"/>
      <c r="G331" s="802">
        <f>G326+G330</f>
        <v>61015</v>
      </c>
      <c r="H331" s="802"/>
      <c r="I331" s="802">
        <f>I326+I330</f>
        <v>500.5</v>
      </c>
      <c r="J331" s="802"/>
      <c r="K331" s="802"/>
      <c r="L331" s="802"/>
      <c r="M331" s="802"/>
      <c r="N331" s="802"/>
      <c r="O331" s="802"/>
      <c r="P331" s="802"/>
      <c r="Q331" s="802"/>
      <c r="R331" s="802">
        <f>R326+R330</f>
        <v>61515.5</v>
      </c>
      <c r="S331" s="802">
        <f>S326+S330</f>
        <v>14</v>
      </c>
      <c r="T331" s="802">
        <f>T326+T330</f>
        <v>0</v>
      </c>
      <c r="U331" s="802"/>
      <c r="V331" s="802"/>
      <c r="W331" s="802">
        <f>W326+W330</f>
        <v>1707.0000000000002</v>
      </c>
      <c r="X331" s="802"/>
      <c r="Y331" s="802"/>
      <c r="Z331" s="802">
        <f>Z326+Z330</f>
        <v>1501.5</v>
      </c>
      <c r="AA331" s="802">
        <f>AA326+AA330</f>
        <v>23406</v>
      </c>
      <c r="AB331" s="802">
        <f>AB326+AB330</f>
        <v>95964.15</v>
      </c>
      <c r="AC331" s="802">
        <f t="shared" ref="AC331:AW331" si="451">AC326+AC330</f>
        <v>73742.850000000006</v>
      </c>
      <c r="AD331" s="802">
        <f t="shared" si="451"/>
        <v>169707</v>
      </c>
      <c r="AE331" s="802">
        <f t="shared" si="451"/>
        <v>169707</v>
      </c>
      <c r="AF331" s="802">
        <f t="shared" si="451"/>
        <v>73742.850000000006</v>
      </c>
      <c r="AG331" s="802">
        <f t="shared" si="451"/>
        <v>93800</v>
      </c>
      <c r="AH331" s="802">
        <f t="shared" si="451"/>
        <v>23406</v>
      </c>
      <c r="AI331" s="802">
        <f t="shared" si="451"/>
        <v>61015</v>
      </c>
      <c r="AJ331" s="802">
        <f t="shared" si="451"/>
        <v>0</v>
      </c>
      <c r="AK331" s="802">
        <f t="shared" si="451"/>
        <v>61515.5</v>
      </c>
      <c r="AL331" s="802">
        <f t="shared" si="451"/>
        <v>0</v>
      </c>
      <c r="AM331" s="802">
        <f t="shared" si="451"/>
        <v>500.5</v>
      </c>
      <c r="AN331" s="802">
        <f t="shared" si="451"/>
        <v>0</v>
      </c>
      <c r="AO331" s="802">
        <f t="shared" si="451"/>
        <v>10388.65</v>
      </c>
      <c r="AP331" s="802">
        <f t="shared" si="451"/>
        <v>0</v>
      </c>
      <c r="AQ331" s="802">
        <f t="shared" si="451"/>
        <v>23406</v>
      </c>
      <c r="AR331" s="802">
        <f t="shared" si="451"/>
        <v>1707.0000000000002</v>
      </c>
      <c r="AS331" s="802">
        <f t="shared" si="451"/>
        <v>0</v>
      </c>
      <c r="AT331" s="802">
        <f t="shared" si="451"/>
        <v>61515.5</v>
      </c>
      <c r="AU331" s="802">
        <f t="shared" si="451"/>
        <v>0</v>
      </c>
      <c r="AV331" s="802">
        <f t="shared" si="451"/>
        <v>0</v>
      </c>
      <c r="AW331" s="802">
        <f t="shared" si="451"/>
        <v>61515.5</v>
      </c>
    </row>
    <row r="332" spans="2:55" s="196" customFormat="1" ht="61.5">
      <c r="B332" s="770"/>
      <c r="C332" s="810" t="s">
        <v>1285</v>
      </c>
      <c r="D332" s="811"/>
      <c r="E332" s="812"/>
      <c r="F332" s="812"/>
      <c r="G332" s="812"/>
      <c r="H332" s="813"/>
      <c r="I332" s="812"/>
      <c r="J332" s="813"/>
      <c r="K332" s="812"/>
      <c r="L332" s="812"/>
      <c r="M332" s="813"/>
      <c r="N332" s="812"/>
      <c r="O332" s="813"/>
      <c r="P332" s="812"/>
      <c r="Q332" s="812"/>
      <c r="R332" s="812"/>
      <c r="S332" s="812"/>
      <c r="T332" s="812"/>
      <c r="U332" s="812"/>
      <c r="V332" s="812"/>
      <c r="W332" s="812"/>
      <c r="X332" s="812"/>
      <c r="Y332" s="812"/>
      <c r="Z332" s="812"/>
      <c r="AA332" s="812"/>
      <c r="AB332" s="812"/>
      <c r="AC332" s="834"/>
      <c r="AD332" s="834"/>
      <c r="AE332" s="815"/>
      <c r="AF332" s="815"/>
      <c r="AG332" s="816"/>
      <c r="AH332" s="815"/>
      <c r="AI332" s="828"/>
      <c r="AJ332" s="828"/>
      <c r="AK332" s="828"/>
      <c r="AL332" s="828"/>
      <c r="AM332" s="828"/>
      <c r="AN332" s="828"/>
      <c r="AO332" s="830"/>
      <c r="AP332" s="830"/>
      <c r="AQ332" s="830"/>
      <c r="AR332" s="830"/>
      <c r="AS332" s="830"/>
      <c r="AT332" s="835"/>
      <c r="AU332" s="835"/>
      <c r="AV332" s="828"/>
      <c r="AW332" s="944"/>
    </row>
    <row r="333" spans="2:55" s="196" customFormat="1" ht="33">
      <c r="B333" s="770"/>
      <c r="C333" s="810" t="s">
        <v>1286</v>
      </c>
      <c r="D333" s="811"/>
      <c r="E333" s="812"/>
      <c r="F333" s="812"/>
      <c r="G333" s="812"/>
      <c r="H333" s="813"/>
      <c r="I333" s="812"/>
      <c r="J333" s="813"/>
      <c r="K333" s="812"/>
      <c r="L333" s="812"/>
      <c r="M333" s="813"/>
      <c r="N333" s="812"/>
      <c r="O333" s="813"/>
      <c r="P333" s="812"/>
      <c r="Q333" s="812"/>
      <c r="R333" s="812"/>
      <c r="S333" s="812"/>
      <c r="T333" s="812"/>
      <c r="U333" s="812"/>
      <c r="V333" s="812"/>
      <c r="W333" s="812"/>
      <c r="X333" s="812"/>
      <c r="Y333" s="812"/>
      <c r="Z333" s="812"/>
      <c r="AA333" s="812"/>
      <c r="AB333" s="812"/>
      <c r="AC333" s="834"/>
      <c r="AD333" s="834"/>
      <c r="AE333" s="815"/>
      <c r="AF333" s="815"/>
      <c r="AG333" s="816"/>
      <c r="AH333" s="815"/>
      <c r="AI333" s="828"/>
      <c r="AJ333" s="828"/>
      <c r="AK333" s="828"/>
      <c r="AL333" s="828"/>
      <c r="AM333" s="828"/>
      <c r="AN333" s="828"/>
      <c r="AO333" s="830"/>
      <c r="AP333" s="830"/>
      <c r="AQ333" s="830"/>
      <c r="AR333" s="830"/>
      <c r="AS333" s="830"/>
      <c r="AT333" s="835"/>
      <c r="AU333" s="835"/>
      <c r="AV333" s="828"/>
      <c r="AW333" s="944"/>
    </row>
    <row r="334" spans="2:55" s="196" customFormat="1" ht="33">
      <c r="B334" s="770"/>
      <c r="C334" s="851" t="s">
        <v>1720</v>
      </c>
      <c r="D334" s="845"/>
      <c r="E334" s="846"/>
      <c r="F334" s="846"/>
      <c r="G334" s="846"/>
      <c r="H334" s="847"/>
      <c r="I334" s="846"/>
      <c r="J334" s="847"/>
      <c r="K334" s="846"/>
      <c r="L334" s="846"/>
      <c r="M334" s="847"/>
      <c r="N334" s="846"/>
      <c r="O334" s="847"/>
      <c r="P334" s="846"/>
      <c r="Q334" s="846"/>
      <c r="R334" s="846"/>
      <c r="S334" s="846"/>
      <c r="T334" s="846"/>
      <c r="U334" s="846"/>
      <c r="V334" s="846"/>
      <c r="W334" s="846"/>
      <c r="X334" s="846"/>
      <c r="Y334" s="846"/>
      <c r="Z334" s="846"/>
      <c r="AA334" s="846"/>
      <c r="AB334" s="846"/>
      <c r="AC334" s="848"/>
      <c r="AD334" s="848"/>
      <c r="AE334" s="849"/>
      <c r="AF334" s="849"/>
      <c r="AG334" s="850"/>
      <c r="AH334" s="849"/>
      <c r="AI334" s="828"/>
      <c r="AJ334" s="828"/>
      <c r="AK334" s="828"/>
      <c r="AL334" s="828"/>
      <c r="AM334" s="828"/>
      <c r="AN334" s="828"/>
      <c r="AO334" s="830"/>
      <c r="AP334" s="830"/>
      <c r="AQ334" s="830"/>
      <c r="AR334" s="830"/>
      <c r="AS334" s="830"/>
      <c r="AT334" s="835"/>
      <c r="AU334" s="835"/>
      <c r="AV334" s="828"/>
      <c r="AW334" s="944"/>
      <c r="BC334" s="197"/>
    </row>
    <row r="335" spans="2:55" s="196" customFormat="1" ht="87.75">
      <c r="B335" s="770"/>
      <c r="C335" s="819" t="s">
        <v>1287</v>
      </c>
      <c r="D335" s="820" t="s">
        <v>1288</v>
      </c>
      <c r="E335" s="770" t="s">
        <v>1289</v>
      </c>
      <c r="F335" s="770">
        <v>13</v>
      </c>
      <c r="G335" s="821">
        <v>6567</v>
      </c>
      <c r="H335" s="824">
        <v>0.1</v>
      </c>
      <c r="I335" s="770">
        <f>G335*H335</f>
        <v>656.7</v>
      </c>
      <c r="J335" s="770"/>
      <c r="K335" s="770"/>
      <c r="L335" s="770"/>
      <c r="M335" s="770"/>
      <c r="N335" s="812"/>
      <c r="O335" s="824">
        <v>0.15</v>
      </c>
      <c r="P335" s="829">
        <f>(G335+I335)*O335</f>
        <v>1083.5549999999998</v>
      </c>
      <c r="Q335" s="824"/>
      <c r="R335" s="821">
        <f>G335+I335+K335+L335+N335+P335+Q335</f>
        <v>8307.2549999999992</v>
      </c>
      <c r="S335" s="821">
        <v>1</v>
      </c>
      <c r="T335" s="770"/>
      <c r="U335" s="770"/>
      <c r="V335" s="770"/>
      <c r="W335" s="770"/>
      <c r="X335" s="770">
        <v>35</v>
      </c>
      <c r="Y335" s="824">
        <v>0.3</v>
      </c>
      <c r="Z335" s="821">
        <f>R335*Y335</f>
        <v>2492.1764999999996</v>
      </c>
      <c r="AA335" s="821"/>
      <c r="AB335" s="821">
        <f>(R335+Z335)*S335</f>
        <v>10799.431499999999</v>
      </c>
      <c r="AC335" s="825">
        <f>AF335</f>
        <v>9200.5685000000012</v>
      </c>
      <c r="AD335" s="825">
        <f>AB335+AC335</f>
        <v>20000</v>
      </c>
      <c r="AE335" s="826">
        <f>20000*S335</f>
        <v>20000</v>
      </c>
      <c r="AF335" s="826">
        <f>AE335-AB335</f>
        <v>9200.5685000000012</v>
      </c>
      <c r="AG335" s="827">
        <f>6700*S335</f>
        <v>6700</v>
      </c>
      <c r="AH335" s="826">
        <f>AB335-AG335</f>
        <v>4099.4314999999988</v>
      </c>
      <c r="AI335" s="828">
        <f>G335*S335</f>
        <v>6567</v>
      </c>
      <c r="AJ335" s="828">
        <f>G335*T335</f>
        <v>0</v>
      </c>
      <c r="AK335" s="828">
        <f>R335*S335</f>
        <v>8307.2549999999992</v>
      </c>
      <c r="AL335" s="828">
        <f>R335*T335</f>
        <v>0</v>
      </c>
      <c r="AM335" s="828">
        <f>AK335-AI335</f>
        <v>1740.2549999999992</v>
      </c>
      <c r="AN335" s="828">
        <f>AL335-AJ335</f>
        <v>0</v>
      </c>
      <c r="AO335" s="830">
        <f>Z335*S335</f>
        <v>2492.1764999999996</v>
      </c>
      <c r="AP335" s="830">
        <f>Z335*T335</f>
        <v>0</v>
      </c>
      <c r="AQ335" s="830">
        <f>AA335</f>
        <v>0</v>
      </c>
      <c r="AR335" s="830">
        <f>W335*S335</f>
        <v>0</v>
      </c>
      <c r="AS335" s="830">
        <f>W335*T335</f>
        <v>0</v>
      </c>
      <c r="AT335" s="835">
        <f t="shared" ref="AT335:AT391" si="452">AK335</f>
        <v>8307.2549999999992</v>
      </c>
      <c r="AU335" s="835">
        <f t="shared" ref="AU335:AU391" si="453">AL335</f>
        <v>0</v>
      </c>
      <c r="AV335" s="828"/>
      <c r="AW335" s="944">
        <f>AT335+AU335-AV335</f>
        <v>8307.2549999999992</v>
      </c>
    </row>
    <row r="336" spans="2:55" s="196" customFormat="1" ht="78.75" customHeight="1">
      <c r="B336" s="770"/>
      <c r="C336" s="819" t="s">
        <v>1290</v>
      </c>
      <c r="D336" s="820" t="s">
        <v>561</v>
      </c>
      <c r="E336" s="770" t="s">
        <v>1291</v>
      </c>
      <c r="F336" s="770">
        <v>13</v>
      </c>
      <c r="G336" s="821">
        <v>6567</v>
      </c>
      <c r="H336" s="770"/>
      <c r="I336" s="770"/>
      <c r="J336" s="770"/>
      <c r="K336" s="770"/>
      <c r="L336" s="770"/>
      <c r="M336" s="770"/>
      <c r="N336" s="812"/>
      <c r="O336" s="824">
        <v>0.15</v>
      </c>
      <c r="P336" s="829">
        <f>(G336+I336)*O336</f>
        <v>985.05</v>
      </c>
      <c r="Q336" s="824"/>
      <c r="R336" s="821">
        <f>G336+I336+K336+L336+N336+P336+Q336</f>
        <v>7552.05</v>
      </c>
      <c r="S336" s="821">
        <v>1</v>
      </c>
      <c r="T336" s="770"/>
      <c r="U336" s="770"/>
      <c r="V336" s="770"/>
      <c r="W336" s="770"/>
      <c r="X336" s="770">
        <v>26</v>
      </c>
      <c r="Y336" s="824">
        <v>0.3</v>
      </c>
      <c r="Z336" s="821">
        <f>R336*Y336</f>
        <v>2265.6149999999998</v>
      </c>
      <c r="AA336" s="821"/>
      <c r="AB336" s="821">
        <f>(R336+Z336)*S336</f>
        <v>9817.6650000000009</v>
      </c>
      <c r="AC336" s="825">
        <f>AF336</f>
        <v>10182.334999999999</v>
      </c>
      <c r="AD336" s="825">
        <f>AB336+AC336</f>
        <v>20000</v>
      </c>
      <c r="AE336" s="826">
        <f>20000*S336</f>
        <v>20000</v>
      </c>
      <c r="AF336" s="826">
        <f>AE336-AB336</f>
        <v>10182.334999999999</v>
      </c>
      <c r="AG336" s="827">
        <f>6700*S336</f>
        <v>6700</v>
      </c>
      <c r="AH336" s="826">
        <f>AB336-AG336</f>
        <v>3117.6650000000009</v>
      </c>
      <c r="AI336" s="828">
        <f>G336*S336</f>
        <v>6567</v>
      </c>
      <c r="AJ336" s="828">
        <f>G336*T336</f>
        <v>0</v>
      </c>
      <c r="AK336" s="828">
        <f>R336*S336</f>
        <v>7552.05</v>
      </c>
      <c r="AL336" s="828">
        <f>R336*T336</f>
        <v>0</v>
      </c>
      <c r="AM336" s="828">
        <f>AK336-AI336</f>
        <v>985.05000000000018</v>
      </c>
      <c r="AN336" s="828">
        <f>AL336-AJ336</f>
        <v>0</v>
      </c>
      <c r="AO336" s="830">
        <f>Z336*S336</f>
        <v>2265.6149999999998</v>
      </c>
      <c r="AP336" s="830">
        <f>Z336*T336</f>
        <v>0</v>
      </c>
      <c r="AQ336" s="830">
        <f>AA336</f>
        <v>0</v>
      </c>
      <c r="AR336" s="830">
        <f>W336*S336</f>
        <v>0</v>
      </c>
      <c r="AS336" s="830">
        <f>W336*T336</f>
        <v>0</v>
      </c>
      <c r="AT336" s="835">
        <f t="shared" si="452"/>
        <v>7552.05</v>
      </c>
      <c r="AU336" s="835">
        <f t="shared" si="453"/>
        <v>0</v>
      </c>
      <c r="AV336" s="828"/>
      <c r="AW336" s="944">
        <f>AT336+AU336-AV336</f>
        <v>7552.05</v>
      </c>
    </row>
    <row r="337" spans="2:55" s="196" customFormat="1" ht="31.5">
      <c r="B337" s="770"/>
      <c r="C337" s="799" t="s">
        <v>504</v>
      </c>
      <c r="D337" s="832"/>
      <c r="E337" s="812"/>
      <c r="F337" s="812"/>
      <c r="G337" s="802">
        <f>SUM(G335:G336)</f>
        <v>13134</v>
      </c>
      <c r="H337" s="875"/>
      <c r="I337" s="802">
        <f>SUM(I335:I336)</f>
        <v>656.7</v>
      </c>
      <c r="J337" s="813"/>
      <c r="K337" s="812"/>
      <c r="L337" s="812"/>
      <c r="M337" s="813"/>
      <c r="N337" s="812"/>
      <c r="O337" s="813"/>
      <c r="P337" s="802">
        <f>SUM(P335:P336)</f>
        <v>2068.6049999999996</v>
      </c>
      <c r="Q337" s="812"/>
      <c r="R337" s="802">
        <f>SUM(R335:R336)</f>
        <v>15859.305</v>
      </c>
      <c r="S337" s="802">
        <f>SUM(S335:S336)</f>
        <v>2</v>
      </c>
      <c r="T337" s="802">
        <f>SUM(T335:T336)</f>
        <v>0</v>
      </c>
      <c r="U337" s="802"/>
      <c r="V337" s="802"/>
      <c r="W337" s="802"/>
      <c r="X337" s="802"/>
      <c r="Y337" s="802"/>
      <c r="Z337" s="802">
        <f t="shared" ref="Z337:AW337" si="454">SUM(Z335:Z336)</f>
        <v>4757.7914999999994</v>
      </c>
      <c r="AA337" s="802">
        <f t="shared" si="454"/>
        <v>0</v>
      </c>
      <c r="AB337" s="802">
        <f t="shared" si="454"/>
        <v>20617.0965</v>
      </c>
      <c r="AC337" s="802">
        <f t="shared" si="454"/>
        <v>19382.9035</v>
      </c>
      <c r="AD337" s="802">
        <f t="shared" si="454"/>
        <v>40000</v>
      </c>
      <c r="AE337" s="802">
        <f t="shared" si="454"/>
        <v>40000</v>
      </c>
      <c r="AF337" s="802">
        <f t="shared" si="454"/>
        <v>19382.9035</v>
      </c>
      <c r="AG337" s="802">
        <f t="shared" si="454"/>
        <v>13400</v>
      </c>
      <c r="AH337" s="802">
        <f t="shared" si="454"/>
        <v>7217.0964999999997</v>
      </c>
      <c r="AI337" s="802">
        <f t="shared" si="454"/>
        <v>13134</v>
      </c>
      <c r="AJ337" s="802">
        <f t="shared" si="454"/>
        <v>0</v>
      </c>
      <c r="AK337" s="802">
        <f t="shared" si="454"/>
        <v>15859.305</v>
      </c>
      <c r="AL337" s="802">
        <f t="shared" si="454"/>
        <v>0</v>
      </c>
      <c r="AM337" s="802">
        <f t="shared" si="454"/>
        <v>2725.3049999999994</v>
      </c>
      <c r="AN337" s="802">
        <f t="shared" si="454"/>
        <v>0</v>
      </c>
      <c r="AO337" s="802">
        <f t="shared" si="454"/>
        <v>4757.7914999999994</v>
      </c>
      <c r="AP337" s="802">
        <f t="shared" si="454"/>
        <v>0</v>
      </c>
      <c r="AQ337" s="802">
        <f t="shared" si="454"/>
        <v>0</v>
      </c>
      <c r="AR337" s="802">
        <f t="shared" si="454"/>
        <v>0</v>
      </c>
      <c r="AS337" s="802">
        <f t="shared" si="454"/>
        <v>0</v>
      </c>
      <c r="AT337" s="802">
        <f t="shared" si="454"/>
        <v>15859.305</v>
      </c>
      <c r="AU337" s="802">
        <f t="shared" si="454"/>
        <v>0</v>
      </c>
      <c r="AV337" s="802">
        <f t="shared" si="454"/>
        <v>0</v>
      </c>
      <c r="AW337" s="802">
        <f t="shared" si="454"/>
        <v>15859.305</v>
      </c>
    </row>
    <row r="338" spans="2:55" s="196" customFormat="1" ht="33">
      <c r="B338" s="770"/>
      <c r="C338" s="851" t="s">
        <v>1988</v>
      </c>
      <c r="D338" s="811"/>
      <c r="E338" s="812"/>
      <c r="F338" s="812"/>
      <c r="G338" s="812"/>
      <c r="H338" s="813"/>
      <c r="I338" s="812"/>
      <c r="J338" s="813"/>
      <c r="K338" s="812"/>
      <c r="L338" s="812"/>
      <c r="M338" s="813"/>
      <c r="N338" s="812"/>
      <c r="O338" s="813"/>
      <c r="P338" s="812"/>
      <c r="Q338" s="812"/>
      <c r="R338" s="812"/>
      <c r="S338" s="812"/>
      <c r="T338" s="812"/>
      <c r="U338" s="812"/>
      <c r="V338" s="812"/>
      <c r="W338" s="812"/>
      <c r="X338" s="812"/>
      <c r="Y338" s="812"/>
      <c r="Z338" s="812"/>
      <c r="AA338" s="812"/>
      <c r="AB338" s="812"/>
      <c r="AC338" s="834"/>
      <c r="AD338" s="834"/>
      <c r="AE338" s="815"/>
      <c r="AF338" s="815"/>
      <c r="AG338" s="816"/>
      <c r="AH338" s="815"/>
      <c r="AI338" s="828"/>
      <c r="AJ338" s="828"/>
      <c r="AK338" s="828"/>
      <c r="AL338" s="828"/>
      <c r="AM338" s="828"/>
      <c r="AN338" s="828"/>
      <c r="AO338" s="830"/>
      <c r="AP338" s="830"/>
      <c r="AQ338" s="830"/>
      <c r="AR338" s="830"/>
      <c r="AS338" s="830"/>
      <c r="AT338" s="835"/>
      <c r="AU338" s="835"/>
      <c r="AV338" s="828"/>
      <c r="AW338" s="944"/>
    </row>
    <row r="339" spans="2:55" s="196" customFormat="1" ht="72" customHeight="1">
      <c r="B339" s="770"/>
      <c r="C339" s="819" t="s">
        <v>1402</v>
      </c>
      <c r="D339" s="820" t="s">
        <v>1682</v>
      </c>
      <c r="E339" s="770" t="s">
        <v>795</v>
      </c>
      <c r="F339" s="831">
        <v>10</v>
      </c>
      <c r="G339" s="821">
        <v>5265</v>
      </c>
      <c r="H339" s="821"/>
      <c r="I339" s="821"/>
      <c r="J339" s="821"/>
      <c r="K339" s="821"/>
      <c r="L339" s="821"/>
      <c r="M339" s="821"/>
      <c r="N339" s="821"/>
      <c r="O339" s="824">
        <v>0.15</v>
      </c>
      <c r="P339" s="829">
        <f>G339*O339</f>
        <v>789.75</v>
      </c>
      <c r="Q339" s="821"/>
      <c r="R339" s="821">
        <f t="shared" ref="R339:R344" si="455">G339+I339+K339+L339+N339+P339+Q339</f>
        <v>6054.75</v>
      </c>
      <c r="S339" s="821">
        <v>1</v>
      </c>
      <c r="T339" s="821"/>
      <c r="U339" s="821"/>
      <c r="V339" s="821"/>
      <c r="W339" s="821"/>
      <c r="X339" s="770">
        <v>23</v>
      </c>
      <c r="Y339" s="824">
        <v>0.3</v>
      </c>
      <c r="Z339" s="821">
        <f t="shared" ref="Z339:Z344" si="456">R339*Y339</f>
        <v>1816.425</v>
      </c>
      <c r="AA339" s="821"/>
      <c r="AB339" s="821">
        <f>(R339+Z339)*S339</f>
        <v>7871.1750000000002</v>
      </c>
      <c r="AC339" s="825">
        <f t="shared" ref="AC339:AC344" si="457">AF339</f>
        <v>5628.8249999999998</v>
      </c>
      <c r="AD339" s="825">
        <f t="shared" ref="AD339:AD344" si="458">AB339+AC339</f>
        <v>13500</v>
      </c>
      <c r="AE339" s="826">
        <f t="shared" ref="AE339:AE344" si="459">13500*S339</f>
        <v>13500</v>
      </c>
      <c r="AF339" s="826">
        <f t="shared" ref="AF339:AF344" si="460">AE339-AB339</f>
        <v>5628.8249999999998</v>
      </c>
      <c r="AG339" s="827">
        <f t="shared" ref="AG339:AG344" si="461">6700*S339</f>
        <v>6700</v>
      </c>
      <c r="AH339" s="826"/>
      <c r="AI339" s="828">
        <f t="shared" ref="AI339:AI344" si="462">G339*S339</f>
        <v>5265</v>
      </c>
      <c r="AJ339" s="828">
        <f t="shared" ref="AJ339:AJ344" si="463">G339*T339</f>
        <v>0</v>
      </c>
      <c r="AK339" s="828">
        <f t="shared" ref="AK339:AK344" si="464">R339*S339</f>
        <v>6054.75</v>
      </c>
      <c r="AL339" s="828">
        <f t="shared" ref="AL339:AL344" si="465">R339*T339</f>
        <v>0</v>
      </c>
      <c r="AM339" s="828">
        <f t="shared" ref="AM339:AM344" si="466">AK339-AI339</f>
        <v>789.75</v>
      </c>
      <c r="AN339" s="828">
        <f t="shared" ref="AN339:AN344" si="467">AL339-AJ339</f>
        <v>0</v>
      </c>
      <c r="AO339" s="830">
        <f t="shared" ref="AO339:AO344" si="468">Z339*S339</f>
        <v>1816.425</v>
      </c>
      <c r="AP339" s="830">
        <f t="shared" ref="AP339:AP344" si="469">Z339*T339</f>
        <v>0</v>
      </c>
      <c r="AQ339" s="830">
        <f t="shared" ref="AQ339:AQ344" si="470">AA339</f>
        <v>0</v>
      </c>
      <c r="AR339" s="830">
        <f t="shared" ref="AR339:AR344" si="471">W339*S339</f>
        <v>0</v>
      </c>
      <c r="AS339" s="830">
        <f t="shared" ref="AS339:AS344" si="472">W339*T339</f>
        <v>0</v>
      </c>
      <c r="AT339" s="835">
        <f t="shared" si="452"/>
        <v>6054.75</v>
      </c>
      <c r="AU339" s="835">
        <f t="shared" si="453"/>
        <v>0</v>
      </c>
      <c r="AV339" s="828"/>
      <c r="AW339" s="944">
        <f t="shared" ref="AW339:AW344" si="473">AT339+AU339-AV339</f>
        <v>6054.75</v>
      </c>
    </row>
    <row r="340" spans="2:55" s="196" customFormat="1" ht="72" customHeight="1">
      <c r="B340" s="770"/>
      <c r="C340" s="819" t="s">
        <v>1402</v>
      </c>
      <c r="D340" s="820" t="s">
        <v>1683</v>
      </c>
      <c r="E340" s="770" t="s">
        <v>1413</v>
      </c>
      <c r="F340" s="831">
        <v>9</v>
      </c>
      <c r="G340" s="821">
        <v>5005</v>
      </c>
      <c r="H340" s="821"/>
      <c r="I340" s="821"/>
      <c r="J340" s="824"/>
      <c r="K340" s="824"/>
      <c r="L340" s="824"/>
      <c r="M340" s="821"/>
      <c r="N340" s="821"/>
      <c r="O340" s="824">
        <v>0.15</v>
      </c>
      <c r="P340" s="829">
        <f>G340*O340</f>
        <v>750.75</v>
      </c>
      <c r="Q340" s="831"/>
      <c r="R340" s="821">
        <f t="shared" si="455"/>
        <v>5755.75</v>
      </c>
      <c r="S340" s="821">
        <v>1</v>
      </c>
      <c r="T340" s="821"/>
      <c r="U340" s="831"/>
      <c r="V340" s="831"/>
      <c r="W340" s="831"/>
      <c r="X340" s="770">
        <v>17</v>
      </c>
      <c r="Y340" s="824">
        <v>0.2</v>
      </c>
      <c r="Z340" s="821">
        <f t="shared" si="456"/>
        <v>1151.1500000000001</v>
      </c>
      <c r="AA340" s="821"/>
      <c r="AB340" s="821">
        <f>(R340+Z340)*S340+AA340</f>
        <v>6906.9</v>
      </c>
      <c r="AC340" s="825">
        <f t="shared" si="457"/>
        <v>6593.1</v>
      </c>
      <c r="AD340" s="825">
        <f t="shared" si="458"/>
        <v>13500</v>
      </c>
      <c r="AE340" s="826">
        <f t="shared" si="459"/>
        <v>13500</v>
      </c>
      <c r="AF340" s="826">
        <f t="shared" si="460"/>
        <v>6593.1</v>
      </c>
      <c r="AG340" s="827">
        <f t="shared" si="461"/>
        <v>6700</v>
      </c>
      <c r="AH340" s="826"/>
      <c r="AI340" s="828">
        <f t="shared" si="462"/>
        <v>5005</v>
      </c>
      <c r="AJ340" s="828">
        <f t="shared" si="463"/>
        <v>0</v>
      </c>
      <c r="AK340" s="828">
        <f t="shared" si="464"/>
        <v>5755.75</v>
      </c>
      <c r="AL340" s="828">
        <f t="shared" si="465"/>
        <v>0</v>
      </c>
      <c r="AM340" s="828">
        <f t="shared" si="466"/>
        <v>750.75</v>
      </c>
      <c r="AN340" s="828">
        <f t="shared" si="467"/>
        <v>0</v>
      </c>
      <c r="AO340" s="830">
        <f t="shared" si="468"/>
        <v>1151.1500000000001</v>
      </c>
      <c r="AP340" s="830">
        <f t="shared" si="469"/>
        <v>0</v>
      </c>
      <c r="AQ340" s="830">
        <f t="shared" si="470"/>
        <v>0</v>
      </c>
      <c r="AR340" s="830">
        <f t="shared" si="471"/>
        <v>0</v>
      </c>
      <c r="AS340" s="830">
        <f t="shared" si="472"/>
        <v>0</v>
      </c>
      <c r="AT340" s="835">
        <f t="shared" si="452"/>
        <v>5755.75</v>
      </c>
      <c r="AU340" s="835">
        <f t="shared" si="453"/>
        <v>0</v>
      </c>
      <c r="AV340" s="828"/>
      <c r="AW340" s="944">
        <f t="shared" si="473"/>
        <v>5755.75</v>
      </c>
      <c r="AX340" s="198"/>
    </row>
    <row r="341" spans="2:55" s="196" customFormat="1" ht="72" customHeight="1">
      <c r="B341" s="770"/>
      <c r="C341" s="819" t="s">
        <v>1402</v>
      </c>
      <c r="D341" s="820" t="s">
        <v>1414</v>
      </c>
      <c r="E341" s="770" t="s">
        <v>1415</v>
      </c>
      <c r="F341" s="831">
        <v>8</v>
      </c>
      <c r="G341" s="821">
        <v>4745</v>
      </c>
      <c r="H341" s="821"/>
      <c r="I341" s="821"/>
      <c r="J341" s="821"/>
      <c r="K341" s="821"/>
      <c r="L341" s="821"/>
      <c r="M341" s="821"/>
      <c r="N341" s="821"/>
      <c r="O341" s="824">
        <v>0.15</v>
      </c>
      <c r="P341" s="829">
        <f>G341*O341</f>
        <v>711.75</v>
      </c>
      <c r="Q341" s="821"/>
      <c r="R341" s="821">
        <f t="shared" si="455"/>
        <v>5456.75</v>
      </c>
      <c r="S341" s="821">
        <v>1</v>
      </c>
      <c r="T341" s="821"/>
      <c r="U341" s="821"/>
      <c r="V341" s="821"/>
      <c r="W341" s="821"/>
      <c r="X341" s="770">
        <v>9</v>
      </c>
      <c r="Y341" s="824">
        <v>0.1</v>
      </c>
      <c r="Z341" s="821">
        <f t="shared" si="456"/>
        <v>545.67500000000007</v>
      </c>
      <c r="AA341" s="821">
        <f>AH341</f>
        <v>697.57499999999993</v>
      </c>
      <c r="AB341" s="821">
        <f>(R341+Z341)*S341+AA341</f>
        <v>6700</v>
      </c>
      <c r="AC341" s="825">
        <f t="shared" si="457"/>
        <v>6800</v>
      </c>
      <c r="AD341" s="825">
        <f t="shared" si="458"/>
        <v>13500</v>
      </c>
      <c r="AE341" s="826">
        <f t="shared" si="459"/>
        <v>13500</v>
      </c>
      <c r="AF341" s="826">
        <f t="shared" si="460"/>
        <v>6800</v>
      </c>
      <c r="AG341" s="827">
        <f t="shared" si="461"/>
        <v>6700</v>
      </c>
      <c r="AH341" s="826">
        <f>AG341-(R341*S341)-(Z341*S341)</f>
        <v>697.57499999999993</v>
      </c>
      <c r="AI341" s="828">
        <f t="shared" si="462"/>
        <v>4745</v>
      </c>
      <c r="AJ341" s="828">
        <f t="shared" si="463"/>
        <v>0</v>
      </c>
      <c r="AK341" s="828">
        <f t="shared" si="464"/>
        <v>5456.75</v>
      </c>
      <c r="AL341" s="828">
        <f t="shared" si="465"/>
        <v>0</v>
      </c>
      <c r="AM341" s="828">
        <f t="shared" si="466"/>
        <v>711.75</v>
      </c>
      <c r="AN341" s="828">
        <f t="shared" si="467"/>
        <v>0</v>
      </c>
      <c r="AO341" s="830">
        <f t="shared" si="468"/>
        <v>545.67500000000007</v>
      </c>
      <c r="AP341" s="830">
        <f t="shared" si="469"/>
        <v>0</v>
      </c>
      <c r="AQ341" s="830">
        <f t="shared" si="470"/>
        <v>697.57499999999993</v>
      </c>
      <c r="AR341" s="830">
        <f t="shared" si="471"/>
        <v>0</v>
      </c>
      <c r="AS341" s="830">
        <f t="shared" si="472"/>
        <v>0</v>
      </c>
      <c r="AT341" s="835">
        <f t="shared" si="452"/>
        <v>5456.75</v>
      </c>
      <c r="AU341" s="835">
        <f t="shared" si="453"/>
        <v>0</v>
      </c>
      <c r="AV341" s="828"/>
      <c r="AW341" s="944">
        <f t="shared" si="473"/>
        <v>5456.75</v>
      </c>
      <c r="AX341" s="199"/>
    </row>
    <row r="342" spans="2:55" s="196" customFormat="1" ht="72" customHeight="1">
      <c r="B342" s="770"/>
      <c r="C342" s="819" t="s">
        <v>1402</v>
      </c>
      <c r="D342" s="820" t="s">
        <v>1680</v>
      </c>
      <c r="E342" s="770" t="s">
        <v>1403</v>
      </c>
      <c r="F342" s="770">
        <v>10</v>
      </c>
      <c r="G342" s="821">
        <v>5265</v>
      </c>
      <c r="H342" s="821"/>
      <c r="I342" s="821"/>
      <c r="J342" s="821"/>
      <c r="K342" s="821"/>
      <c r="L342" s="821"/>
      <c r="M342" s="821"/>
      <c r="N342" s="821"/>
      <c r="O342" s="824">
        <v>0.15</v>
      </c>
      <c r="P342" s="821">
        <f>(G342+I342)*O342</f>
        <v>789.75</v>
      </c>
      <c r="Q342" s="821"/>
      <c r="R342" s="821">
        <f t="shared" si="455"/>
        <v>6054.75</v>
      </c>
      <c r="S342" s="821">
        <v>1</v>
      </c>
      <c r="T342" s="821"/>
      <c r="U342" s="821"/>
      <c r="V342" s="821"/>
      <c r="W342" s="821"/>
      <c r="X342" s="770">
        <v>39</v>
      </c>
      <c r="Y342" s="824">
        <v>0.3</v>
      </c>
      <c r="Z342" s="821">
        <f t="shared" si="456"/>
        <v>1816.425</v>
      </c>
      <c r="AA342" s="821"/>
      <c r="AB342" s="821">
        <f>(R342+Z342)*S342</f>
        <v>7871.1750000000002</v>
      </c>
      <c r="AC342" s="825">
        <f t="shared" si="457"/>
        <v>5628.8249999999998</v>
      </c>
      <c r="AD342" s="825">
        <f t="shared" si="458"/>
        <v>13500</v>
      </c>
      <c r="AE342" s="826">
        <f t="shared" si="459"/>
        <v>13500</v>
      </c>
      <c r="AF342" s="826">
        <f t="shared" si="460"/>
        <v>5628.8249999999998</v>
      </c>
      <c r="AG342" s="827">
        <f t="shared" si="461"/>
        <v>6700</v>
      </c>
      <c r="AH342" s="826"/>
      <c r="AI342" s="828">
        <f t="shared" si="462"/>
        <v>5265</v>
      </c>
      <c r="AJ342" s="828">
        <f t="shared" si="463"/>
        <v>0</v>
      </c>
      <c r="AK342" s="828">
        <f t="shared" si="464"/>
        <v>6054.75</v>
      </c>
      <c r="AL342" s="828">
        <f t="shared" si="465"/>
        <v>0</v>
      </c>
      <c r="AM342" s="828">
        <f t="shared" si="466"/>
        <v>789.75</v>
      </c>
      <c r="AN342" s="828">
        <f t="shared" si="467"/>
        <v>0</v>
      </c>
      <c r="AO342" s="830">
        <f t="shared" si="468"/>
        <v>1816.425</v>
      </c>
      <c r="AP342" s="830">
        <f t="shared" si="469"/>
        <v>0</v>
      </c>
      <c r="AQ342" s="830">
        <f t="shared" si="470"/>
        <v>0</v>
      </c>
      <c r="AR342" s="830">
        <f t="shared" si="471"/>
        <v>0</v>
      </c>
      <c r="AS342" s="830">
        <f t="shared" si="472"/>
        <v>0</v>
      </c>
      <c r="AT342" s="835">
        <f t="shared" si="452"/>
        <v>6054.75</v>
      </c>
      <c r="AU342" s="835">
        <f t="shared" si="453"/>
        <v>0</v>
      </c>
      <c r="AV342" s="828"/>
      <c r="AW342" s="944">
        <f t="shared" si="473"/>
        <v>6054.75</v>
      </c>
    </row>
    <row r="343" spans="2:55" s="196" customFormat="1" ht="72" customHeight="1">
      <c r="B343" s="770"/>
      <c r="C343" s="819" t="s">
        <v>1402</v>
      </c>
      <c r="D343" s="820" t="s">
        <v>1404</v>
      </c>
      <c r="E343" s="770" t="s">
        <v>1405</v>
      </c>
      <c r="F343" s="770">
        <v>10</v>
      </c>
      <c r="G343" s="821">
        <v>5265</v>
      </c>
      <c r="H343" s="821"/>
      <c r="I343" s="821"/>
      <c r="J343" s="821"/>
      <c r="K343" s="821"/>
      <c r="L343" s="821"/>
      <c r="M343" s="821"/>
      <c r="N343" s="821"/>
      <c r="O343" s="824">
        <v>0.15</v>
      </c>
      <c r="P343" s="821">
        <f>(G343+I343)*O343</f>
        <v>789.75</v>
      </c>
      <c r="Q343" s="821"/>
      <c r="R343" s="821">
        <f t="shared" si="455"/>
        <v>6054.75</v>
      </c>
      <c r="S343" s="821">
        <v>1</v>
      </c>
      <c r="T343" s="831"/>
      <c r="U343" s="831"/>
      <c r="V343" s="831"/>
      <c r="W343" s="831"/>
      <c r="X343" s="770">
        <v>35</v>
      </c>
      <c r="Y343" s="824">
        <v>0.3</v>
      </c>
      <c r="Z343" s="821">
        <f t="shared" si="456"/>
        <v>1816.425</v>
      </c>
      <c r="AA343" s="821"/>
      <c r="AB343" s="821">
        <f>(R343+Z343)*S343</f>
        <v>7871.1750000000002</v>
      </c>
      <c r="AC343" s="825">
        <f t="shared" si="457"/>
        <v>5628.8249999999998</v>
      </c>
      <c r="AD343" s="825">
        <f t="shared" si="458"/>
        <v>13500</v>
      </c>
      <c r="AE343" s="826">
        <f t="shared" si="459"/>
        <v>13500</v>
      </c>
      <c r="AF343" s="826">
        <f t="shared" si="460"/>
        <v>5628.8249999999998</v>
      </c>
      <c r="AG343" s="827">
        <f t="shared" si="461"/>
        <v>6700</v>
      </c>
      <c r="AH343" s="826"/>
      <c r="AI343" s="828">
        <f t="shared" si="462"/>
        <v>5265</v>
      </c>
      <c r="AJ343" s="828">
        <f t="shared" si="463"/>
        <v>0</v>
      </c>
      <c r="AK343" s="828">
        <f t="shared" si="464"/>
        <v>6054.75</v>
      </c>
      <c r="AL343" s="828">
        <f t="shared" si="465"/>
        <v>0</v>
      </c>
      <c r="AM343" s="828">
        <f t="shared" si="466"/>
        <v>789.75</v>
      </c>
      <c r="AN343" s="828">
        <f t="shared" si="467"/>
        <v>0</v>
      </c>
      <c r="AO343" s="830">
        <f t="shared" si="468"/>
        <v>1816.425</v>
      </c>
      <c r="AP343" s="830">
        <f t="shared" si="469"/>
        <v>0</v>
      </c>
      <c r="AQ343" s="830">
        <f t="shared" si="470"/>
        <v>0</v>
      </c>
      <c r="AR343" s="830">
        <f t="shared" si="471"/>
        <v>0</v>
      </c>
      <c r="AS343" s="830">
        <f t="shared" si="472"/>
        <v>0</v>
      </c>
      <c r="AT343" s="835">
        <f t="shared" si="452"/>
        <v>6054.75</v>
      </c>
      <c r="AU343" s="835">
        <f t="shared" si="453"/>
        <v>0</v>
      </c>
      <c r="AV343" s="828"/>
      <c r="AW343" s="944">
        <f t="shared" si="473"/>
        <v>6054.75</v>
      </c>
    </row>
    <row r="344" spans="2:55" s="196" customFormat="1" ht="72" customHeight="1">
      <c r="B344" s="770"/>
      <c r="C344" s="819" t="s">
        <v>1402</v>
      </c>
      <c r="D344" s="820" t="s">
        <v>1681</v>
      </c>
      <c r="E344" s="770" t="s">
        <v>1406</v>
      </c>
      <c r="F344" s="770">
        <v>10</v>
      </c>
      <c r="G344" s="821">
        <v>5265</v>
      </c>
      <c r="H344" s="821"/>
      <c r="I344" s="821"/>
      <c r="J344" s="821"/>
      <c r="K344" s="821"/>
      <c r="L344" s="821"/>
      <c r="M344" s="821"/>
      <c r="N344" s="821"/>
      <c r="O344" s="824">
        <v>0.15</v>
      </c>
      <c r="P344" s="821">
        <f>(G344+I344)*O344</f>
        <v>789.75</v>
      </c>
      <c r="Q344" s="821"/>
      <c r="R344" s="821">
        <f t="shared" si="455"/>
        <v>6054.75</v>
      </c>
      <c r="S344" s="821">
        <v>1</v>
      </c>
      <c r="T344" s="821"/>
      <c r="U344" s="821"/>
      <c r="V344" s="821"/>
      <c r="W344" s="821"/>
      <c r="X344" s="770">
        <v>33</v>
      </c>
      <c r="Y344" s="824">
        <v>0.3</v>
      </c>
      <c r="Z344" s="821">
        <f t="shared" si="456"/>
        <v>1816.425</v>
      </c>
      <c r="AA344" s="821"/>
      <c r="AB344" s="821">
        <f>(R344+Z344)*S344</f>
        <v>7871.1750000000002</v>
      </c>
      <c r="AC344" s="825">
        <f t="shared" si="457"/>
        <v>5628.8249999999998</v>
      </c>
      <c r="AD344" s="825">
        <f t="shared" si="458"/>
        <v>13500</v>
      </c>
      <c r="AE344" s="826">
        <f t="shared" si="459"/>
        <v>13500</v>
      </c>
      <c r="AF344" s="826">
        <f t="shared" si="460"/>
        <v>5628.8249999999998</v>
      </c>
      <c r="AG344" s="827">
        <f t="shared" si="461"/>
        <v>6700</v>
      </c>
      <c r="AH344" s="826"/>
      <c r="AI344" s="828">
        <f t="shared" si="462"/>
        <v>5265</v>
      </c>
      <c r="AJ344" s="828">
        <f t="shared" si="463"/>
        <v>0</v>
      </c>
      <c r="AK344" s="828">
        <f t="shared" si="464"/>
        <v>6054.75</v>
      </c>
      <c r="AL344" s="828">
        <f t="shared" si="465"/>
        <v>0</v>
      </c>
      <c r="AM344" s="828">
        <f t="shared" si="466"/>
        <v>789.75</v>
      </c>
      <c r="AN344" s="828">
        <f t="shared" si="467"/>
        <v>0</v>
      </c>
      <c r="AO344" s="830">
        <f t="shared" si="468"/>
        <v>1816.425</v>
      </c>
      <c r="AP344" s="830">
        <f t="shared" si="469"/>
        <v>0</v>
      </c>
      <c r="AQ344" s="830">
        <f t="shared" si="470"/>
        <v>0</v>
      </c>
      <c r="AR344" s="830">
        <f t="shared" si="471"/>
        <v>0</v>
      </c>
      <c r="AS344" s="830">
        <f t="shared" si="472"/>
        <v>0</v>
      </c>
      <c r="AT344" s="835">
        <f t="shared" si="452"/>
        <v>6054.75</v>
      </c>
      <c r="AU344" s="835">
        <f t="shared" si="453"/>
        <v>0</v>
      </c>
      <c r="AV344" s="828"/>
      <c r="AW344" s="944">
        <f t="shared" si="473"/>
        <v>6054.75</v>
      </c>
    </row>
    <row r="345" spans="2:55" s="196" customFormat="1" ht="31.5">
      <c r="B345" s="770"/>
      <c r="C345" s="799" t="s">
        <v>504</v>
      </c>
      <c r="D345" s="832"/>
      <c r="E345" s="812"/>
      <c r="F345" s="812"/>
      <c r="G345" s="802">
        <f>SUM(G339:G344)</f>
        <v>30810</v>
      </c>
      <c r="H345" s="813"/>
      <c r="I345" s="812"/>
      <c r="J345" s="813"/>
      <c r="K345" s="812"/>
      <c r="L345" s="812"/>
      <c r="M345" s="813"/>
      <c r="N345" s="812"/>
      <c r="O345" s="813"/>
      <c r="P345" s="802">
        <f>SUM(P339:P344)</f>
        <v>4621.5</v>
      </c>
      <c r="Q345" s="812"/>
      <c r="R345" s="802">
        <f>SUM(R339:R344)</f>
        <v>35431.5</v>
      </c>
      <c r="S345" s="802">
        <f>SUM(S339:S344)</f>
        <v>6</v>
      </c>
      <c r="T345" s="802">
        <f>SUM(T339:T344)</f>
        <v>0</v>
      </c>
      <c r="U345" s="802"/>
      <c r="V345" s="802"/>
      <c r="W345" s="802"/>
      <c r="X345" s="802"/>
      <c r="Y345" s="802"/>
      <c r="Z345" s="802">
        <f>SUM(Z339:Z344)</f>
        <v>8962.5249999999996</v>
      </c>
      <c r="AA345" s="802">
        <f>SUM(AA339:AA344)</f>
        <v>697.57499999999993</v>
      </c>
      <c r="AB345" s="802">
        <f>SUM(AB339:AB344)</f>
        <v>45091.600000000006</v>
      </c>
      <c r="AC345" s="802">
        <f t="shared" ref="AC345:AW345" si="474">SUM(AC339:AC344)</f>
        <v>35908.400000000001</v>
      </c>
      <c r="AD345" s="802">
        <f t="shared" si="474"/>
        <v>81000</v>
      </c>
      <c r="AE345" s="802">
        <f t="shared" si="474"/>
        <v>81000</v>
      </c>
      <c r="AF345" s="802">
        <f t="shared" si="474"/>
        <v>35908.400000000001</v>
      </c>
      <c r="AG345" s="802">
        <f t="shared" si="474"/>
        <v>40200</v>
      </c>
      <c r="AH345" s="802">
        <f t="shared" si="474"/>
        <v>697.57499999999993</v>
      </c>
      <c r="AI345" s="802">
        <f t="shared" si="474"/>
        <v>30810</v>
      </c>
      <c r="AJ345" s="802">
        <f t="shared" si="474"/>
        <v>0</v>
      </c>
      <c r="AK345" s="802">
        <f t="shared" si="474"/>
        <v>35431.5</v>
      </c>
      <c r="AL345" s="802">
        <f t="shared" si="474"/>
        <v>0</v>
      </c>
      <c r="AM345" s="802">
        <f t="shared" si="474"/>
        <v>4621.5</v>
      </c>
      <c r="AN345" s="802">
        <f t="shared" si="474"/>
        <v>0</v>
      </c>
      <c r="AO345" s="802">
        <f t="shared" si="474"/>
        <v>8962.5249999999996</v>
      </c>
      <c r="AP345" s="802">
        <f t="shared" si="474"/>
        <v>0</v>
      </c>
      <c r="AQ345" s="802">
        <f t="shared" si="474"/>
        <v>697.57499999999993</v>
      </c>
      <c r="AR345" s="802">
        <f t="shared" si="474"/>
        <v>0</v>
      </c>
      <c r="AS345" s="802">
        <f t="shared" si="474"/>
        <v>0</v>
      </c>
      <c r="AT345" s="802">
        <f t="shared" si="474"/>
        <v>35431.5</v>
      </c>
      <c r="AU345" s="802">
        <f t="shared" si="474"/>
        <v>0</v>
      </c>
      <c r="AV345" s="802">
        <f t="shared" si="474"/>
        <v>0</v>
      </c>
      <c r="AW345" s="802">
        <f t="shared" si="474"/>
        <v>35431.5</v>
      </c>
    </row>
    <row r="346" spans="2:55" s="196" customFormat="1" ht="33">
      <c r="B346" s="770"/>
      <c r="C346" s="851" t="s">
        <v>802</v>
      </c>
      <c r="D346" s="832"/>
      <c r="E346" s="812"/>
      <c r="F346" s="812"/>
      <c r="G346" s="802"/>
      <c r="H346" s="875"/>
      <c r="I346" s="802"/>
      <c r="J346" s="813"/>
      <c r="K346" s="812"/>
      <c r="L346" s="812"/>
      <c r="M346" s="813"/>
      <c r="N346" s="812"/>
      <c r="O346" s="813"/>
      <c r="P346" s="812"/>
      <c r="Q346" s="812"/>
      <c r="R346" s="802"/>
      <c r="S346" s="802"/>
      <c r="T346" s="802"/>
      <c r="U346" s="802"/>
      <c r="V346" s="802"/>
      <c r="W346" s="802"/>
      <c r="X346" s="802"/>
      <c r="Y346" s="802"/>
      <c r="Z346" s="802"/>
      <c r="AA346" s="802"/>
      <c r="AB346" s="802"/>
      <c r="AC346" s="876"/>
      <c r="AD346" s="876"/>
      <c r="AE346" s="833"/>
      <c r="AF346" s="833"/>
      <c r="AG346" s="818"/>
      <c r="AH346" s="833"/>
      <c r="AI346" s="828"/>
      <c r="AJ346" s="828"/>
      <c r="AK346" s="828"/>
      <c r="AL346" s="828"/>
      <c r="AM346" s="828"/>
      <c r="AN346" s="828"/>
      <c r="AO346" s="830"/>
      <c r="AP346" s="830"/>
      <c r="AQ346" s="830"/>
      <c r="AR346" s="830"/>
      <c r="AS346" s="830"/>
      <c r="AT346" s="835"/>
      <c r="AU346" s="835"/>
      <c r="AV346" s="828"/>
      <c r="AW346" s="944"/>
    </row>
    <row r="347" spans="2:55" s="196" customFormat="1" ht="63">
      <c r="B347" s="770"/>
      <c r="C347" s="819" t="s">
        <v>1444</v>
      </c>
      <c r="D347" s="820"/>
      <c r="E347" s="770"/>
      <c r="F347" s="770">
        <v>3</v>
      </c>
      <c r="G347" s="821">
        <v>3414</v>
      </c>
      <c r="H347" s="821"/>
      <c r="I347" s="821"/>
      <c r="J347" s="821"/>
      <c r="K347" s="821"/>
      <c r="L347" s="821"/>
      <c r="M347" s="821"/>
      <c r="N347" s="821"/>
      <c r="O347" s="821"/>
      <c r="P347" s="821"/>
      <c r="Q347" s="821"/>
      <c r="R347" s="821">
        <f>G347+I347+K347+L347+N347+P347+Q347</f>
        <v>3414</v>
      </c>
      <c r="S347" s="821">
        <v>1</v>
      </c>
      <c r="T347" s="821"/>
      <c r="U347" s="821"/>
      <c r="V347" s="824">
        <v>0.1</v>
      </c>
      <c r="W347" s="821">
        <f>R347*V347</f>
        <v>341.40000000000003</v>
      </c>
      <c r="X347" s="770"/>
      <c r="Y347" s="824"/>
      <c r="Z347" s="821"/>
      <c r="AA347" s="821">
        <f>AH347</f>
        <v>3286</v>
      </c>
      <c r="AB347" s="821">
        <f>(R347+Z347+U347+W347)*S347+AA347</f>
        <v>7041.4</v>
      </c>
      <c r="AC347" s="825">
        <f>AF347</f>
        <v>0</v>
      </c>
      <c r="AD347" s="825">
        <f>AB347+AC347</f>
        <v>7041.4</v>
      </c>
      <c r="AE347" s="826">
        <f>AB347</f>
        <v>7041.4</v>
      </c>
      <c r="AF347" s="826">
        <f>AE347-AB347</f>
        <v>0</v>
      </c>
      <c r="AG347" s="827">
        <f>6700*S347</f>
        <v>6700</v>
      </c>
      <c r="AH347" s="826">
        <f>AG347-(R347*S347)</f>
        <v>3286</v>
      </c>
      <c r="AI347" s="828">
        <f>G347*S347</f>
        <v>3414</v>
      </c>
      <c r="AJ347" s="828">
        <f>G347*T347</f>
        <v>0</v>
      </c>
      <c r="AK347" s="828">
        <f>R347*S347</f>
        <v>3414</v>
      </c>
      <c r="AL347" s="828">
        <f>R347*T347</f>
        <v>0</v>
      </c>
      <c r="AM347" s="828">
        <f>AK347-AI347</f>
        <v>0</v>
      </c>
      <c r="AN347" s="828">
        <f>AL347-AJ347</f>
        <v>0</v>
      </c>
      <c r="AO347" s="830">
        <f>Z347*S347</f>
        <v>0</v>
      </c>
      <c r="AP347" s="830">
        <f>Z347*T347</f>
        <v>0</v>
      </c>
      <c r="AQ347" s="830">
        <f>AA347</f>
        <v>3286</v>
      </c>
      <c r="AR347" s="830">
        <f>W347*S347</f>
        <v>341.40000000000003</v>
      </c>
      <c r="AS347" s="830">
        <f>W347*T347</f>
        <v>0</v>
      </c>
      <c r="AT347" s="835">
        <f t="shared" si="452"/>
        <v>3414</v>
      </c>
      <c r="AU347" s="835">
        <f t="shared" si="453"/>
        <v>0</v>
      </c>
      <c r="AV347" s="828"/>
      <c r="AW347" s="944">
        <f>AT347+AU347-AV347</f>
        <v>3414</v>
      </c>
    </row>
    <row r="348" spans="2:55" s="196" customFormat="1" ht="31.5">
      <c r="B348" s="770"/>
      <c r="C348" s="799" t="s">
        <v>504</v>
      </c>
      <c r="D348" s="832"/>
      <c r="E348" s="812"/>
      <c r="F348" s="812"/>
      <c r="G348" s="802">
        <f>SUM(G347)</f>
        <v>3414</v>
      </c>
      <c r="H348" s="802"/>
      <c r="I348" s="802"/>
      <c r="J348" s="802"/>
      <c r="K348" s="802"/>
      <c r="L348" s="802"/>
      <c r="M348" s="802"/>
      <c r="N348" s="802"/>
      <c r="O348" s="802"/>
      <c r="P348" s="802"/>
      <c r="Q348" s="802"/>
      <c r="R348" s="802">
        <f t="shared" ref="R348:AB348" si="475">SUM(R347)</f>
        <v>3414</v>
      </c>
      <c r="S348" s="802">
        <f t="shared" si="475"/>
        <v>1</v>
      </c>
      <c r="T348" s="802">
        <f t="shared" si="475"/>
        <v>0</v>
      </c>
      <c r="U348" s="802"/>
      <c r="V348" s="802"/>
      <c r="W348" s="802">
        <f t="shared" si="475"/>
        <v>341.40000000000003</v>
      </c>
      <c r="X348" s="802"/>
      <c r="Y348" s="802"/>
      <c r="Z348" s="802">
        <f t="shared" si="475"/>
        <v>0</v>
      </c>
      <c r="AA348" s="802">
        <f t="shared" si="475"/>
        <v>3286</v>
      </c>
      <c r="AB348" s="802">
        <f t="shared" si="475"/>
        <v>7041.4</v>
      </c>
      <c r="AC348" s="802">
        <f t="shared" ref="AC348:AW348" si="476">SUM(AC347)</f>
        <v>0</v>
      </c>
      <c r="AD348" s="802">
        <f t="shared" si="476"/>
        <v>7041.4</v>
      </c>
      <c r="AE348" s="802">
        <f t="shared" si="476"/>
        <v>7041.4</v>
      </c>
      <c r="AF348" s="802">
        <f t="shared" si="476"/>
        <v>0</v>
      </c>
      <c r="AG348" s="802">
        <f t="shared" si="476"/>
        <v>6700</v>
      </c>
      <c r="AH348" s="802">
        <f t="shared" si="476"/>
        <v>3286</v>
      </c>
      <c r="AI348" s="802">
        <f t="shared" si="476"/>
        <v>3414</v>
      </c>
      <c r="AJ348" s="802">
        <f t="shared" si="476"/>
        <v>0</v>
      </c>
      <c r="AK348" s="802">
        <f t="shared" si="476"/>
        <v>3414</v>
      </c>
      <c r="AL348" s="802">
        <f t="shared" si="476"/>
        <v>0</v>
      </c>
      <c r="AM348" s="802">
        <f t="shared" si="476"/>
        <v>0</v>
      </c>
      <c r="AN348" s="802">
        <f t="shared" si="476"/>
        <v>0</v>
      </c>
      <c r="AO348" s="802">
        <f t="shared" si="476"/>
        <v>0</v>
      </c>
      <c r="AP348" s="802">
        <f t="shared" si="476"/>
        <v>0</v>
      </c>
      <c r="AQ348" s="802">
        <f t="shared" si="476"/>
        <v>3286</v>
      </c>
      <c r="AR348" s="802">
        <f t="shared" si="476"/>
        <v>341.40000000000003</v>
      </c>
      <c r="AS348" s="802">
        <f t="shared" si="476"/>
        <v>0</v>
      </c>
      <c r="AT348" s="802">
        <f t="shared" si="476"/>
        <v>3414</v>
      </c>
      <c r="AU348" s="802">
        <f t="shared" si="476"/>
        <v>0</v>
      </c>
      <c r="AV348" s="802">
        <f t="shared" si="476"/>
        <v>0</v>
      </c>
      <c r="AW348" s="802">
        <f t="shared" si="476"/>
        <v>3414</v>
      </c>
    </row>
    <row r="349" spans="2:55" s="196" customFormat="1" ht="31.5">
      <c r="B349" s="770"/>
      <c r="C349" s="799" t="s">
        <v>1547</v>
      </c>
      <c r="D349" s="832"/>
      <c r="E349" s="812"/>
      <c r="F349" s="812"/>
      <c r="G349" s="802">
        <f>G337+G345+G348</f>
        <v>47358</v>
      </c>
      <c r="H349" s="802"/>
      <c r="I349" s="802">
        <f>I337+I345+I348</f>
        <v>656.7</v>
      </c>
      <c r="J349" s="802"/>
      <c r="K349" s="802"/>
      <c r="L349" s="802"/>
      <c r="M349" s="802"/>
      <c r="N349" s="802"/>
      <c r="O349" s="802"/>
      <c r="P349" s="802">
        <f>P337+P345+P348</f>
        <v>6690.1049999999996</v>
      </c>
      <c r="Q349" s="802"/>
      <c r="R349" s="802">
        <f>R337+R345+R348</f>
        <v>54704.805</v>
      </c>
      <c r="S349" s="802">
        <f>S337+S345+S348</f>
        <v>9</v>
      </c>
      <c r="T349" s="802">
        <f>T337+T345+T348</f>
        <v>0</v>
      </c>
      <c r="U349" s="802"/>
      <c r="V349" s="802"/>
      <c r="W349" s="802">
        <f>W337+W345+W348</f>
        <v>341.40000000000003</v>
      </c>
      <c r="X349" s="802"/>
      <c r="Y349" s="802"/>
      <c r="Z349" s="802">
        <f>Z337+Z345+Z348</f>
        <v>13720.316499999999</v>
      </c>
      <c r="AA349" s="802">
        <f>AA337+AA345+AA348</f>
        <v>3983.5749999999998</v>
      </c>
      <c r="AB349" s="802">
        <f>AB337+AB345+AB348</f>
        <v>72750.0965</v>
      </c>
      <c r="AC349" s="802">
        <f t="shared" ref="AC349:AW349" si="477">AC337+AC345+AC348</f>
        <v>55291.303500000002</v>
      </c>
      <c r="AD349" s="802">
        <f t="shared" si="477"/>
        <v>128041.4</v>
      </c>
      <c r="AE349" s="802">
        <f t="shared" si="477"/>
        <v>128041.4</v>
      </c>
      <c r="AF349" s="802">
        <f t="shared" si="477"/>
        <v>55291.303500000002</v>
      </c>
      <c r="AG349" s="802">
        <f t="shared" si="477"/>
        <v>60300</v>
      </c>
      <c r="AH349" s="802">
        <f t="shared" si="477"/>
        <v>11200.6715</v>
      </c>
      <c r="AI349" s="802">
        <f t="shared" si="477"/>
        <v>47358</v>
      </c>
      <c r="AJ349" s="802">
        <f t="shared" si="477"/>
        <v>0</v>
      </c>
      <c r="AK349" s="802">
        <f t="shared" si="477"/>
        <v>54704.805</v>
      </c>
      <c r="AL349" s="802">
        <f t="shared" si="477"/>
        <v>0</v>
      </c>
      <c r="AM349" s="802">
        <f t="shared" si="477"/>
        <v>7346.8049999999994</v>
      </c>
      <c r="AN349" s="802">
        <f t="shared" si="477"/>
        <v>0</v>
      </c>
      <c r="AO349" s="802">
        <f t="shared" si="477"/>
        <v>13720.316499999999</v>
      </c>
      <c r="AP349" s="802">
        <f t="shared" si="477"/>
        <v>0</v>
      </c>
      <c r="AQ349" s="802">
        <f t="shared" si="477"/>
        <v>3983.5749999999998</v>
      </c>
      <c r="AR349" s="802">
        <f t="shared" si="477"/>
        <v>341.40000000000003</v>
      </c>
      <c r="AS349" s="802">
        <f t="shared" si="477"/>
        <v>0</v>
      </c>
      <c r="AT349" s="802">
        <f t="shared" si="477"/>
        <v>54704.805</v>
      </c>
      <c r="AU349" s="802">
        <f t="shared" si="477"/>
        <v>0</v>
      </c>
      <c r="AV349" s="802">
        <f t="shared" si="477"/>
        <v>0</v>
      </c>
      <c r="AW349" s="802">
        <f t="shared" si="477"/>
        <v>54704.805</v>
      </c>
    </row>
    <row r="350" spans="2:55" s="196" customFormat="1" ht="33">
      <c r="B350" s="770"/>
      <c r="C350" s="810" t="s">
        <v>833</v>
      </c>
      <c r="D350" s="811"/>
      <c r="E350" s="812"/>
      <c r="F350" s="812"/>
      <c r="G350" s="812"/>
      <c r="H350" s="813"/>
      <c r="I350" s="812"/>
      <c r="J350" s="813"/>
      <c r="K350" s="812"/>
      <c r="L350" s="812"/>
      <c r="M350" s="813"/>
      <c r="N350" s="812"/>
      <c r="O350" s="813"/>
      <c r="P350" s="812"/>
      <c r="Q350" s="812"/>
      <c r="R350" s="812"/>
      <c r="S350" s="812"/>
      <c r="T350" s="812"/>
      <c r="U350" s="812"/>
      <c r="V350" s="812"/>
      <c r="W350" s="812"/>
      <c r="X350" s="812"/>
      <c r="Y350" s="812"/>
      <c r="Z350" s="812"/>
      <c r="AA350" s="812"/>
      <c r="AB350" s="812"/>
      <c r="AC350" s="834"/>
      <c r="AD350" s="834"/>
      <c r="AE350" s="815"/>
      <c r="AF350" s="815"/>
      <c r="AG350" s="816"/>
      <c r="AH350" s="815"/>
      <c r="AI350" s="828"/>
      <c r="AJ350" s="828"/>
      <c r="AK350" s="828"/>
      <c r="AL350" s="828"/>
      <c r="AM350" s="828"/>
      <c r="AN350" s="828"/>
      <c r="AO350" s="830"/>
      <c r="AP350" s="830"/>
      <c r="AQ350" s="830"/>
      <c r="AR350" s="830"/>
      <c r="AS350" s="830"/>
      <c r="AT350" s="835"/>
      <c r="AU350" s="835"/>
      <c r="AV350" s="828"/>
      <c r="AW350" s="944"/>
    </row>
    <row r="351" spans="2:55" s="196" customFormat="1" ht="33">
      <c r="B351" s="770"/>
      <c r="C351" s="851" t="s">
        <v>1720</v>
      </c>
      <c r="D351" s="845"/>
      <c r="E351" s="846"/>
      <c r="F351" s="846"/>
      <c r="G351" s="846"/>
      <c r="H351" s="847"/>
      <c r="I351" s="846"/>
      <c r="J351" s="847"/>
      <c r="K351" s="846"/>
      <c r="L351" s="846"/>
      <c r="M351" s="847"/>
      <c r="N351" s="846"/>
      <c r="O351" s="847"/>
      <c r="P351" s="846"/>
      <c r="Q351" s="846"/>
      <c r="R351" s="846"/>
      <c r="S351" s="846"/>
      <c r="T351" s="846"/>
      <c r="U351" s="846"/>
      <c r="V351" s="846"/>
      <c r="W351" s="846"/>
      <c r="X351" s="846"/>
      <c r="Y351" s="846"/>
      <c r="Z351" s="846"/>
      <c r="AA351" s="846"/>
      <c r="AB351" s="846"/>
      <c r="AC351" s="848"/>
      <c r="AD351" s="848"/>
      <c r="AE351" s="849"/>
      <c r="AF351" s="849"/>
      <c r="AG351" s="850"/>
      <c r="AH351" s="849"/>
      <c r="AI351" s="828"/>
      <c r="AJ351" s="828"/>
      <c r="AK351" s="828"/>
      <c r="AL351" s="828"/>
      <c r="AM351" s="828"/>
      <c r="AN351" s="828"/>
      <c r="AO351" s="830"/>
      <c r="AP351" s="830"/>
      <c r="AQ351" s="830"/>
      <c r="AR351" s="830"/>
      <c r="AS351" s="830"/>
      <c r="AT351" s="835"/>
      <c r="AU351" s="835"/>
      <c r="AV351" s="828"/>
      <c r="AW351" s="944"/>
      <c r="BC351" s="197"/>
    </row>
    <row r="352" spans="2:55" s="196" customFormat="1" ht="58.5">
      <c r="B352" s="770"/>
      <c r="C352" s="819" t="s">
        <v>1292</v>
      </c>
      <c r="D352" s="820" t="s">
        <v>1293</v>
      </c>
      <c r="E352" s="770" t="s">
        <v>1294</v>
      </c>
      <c r="F352" s="770">
        <v>12</v>
      </c>
      <c r="G352" s="821">
        <v>6133</v>
      </c>
      <c r="H352" s="770"/>
      <c r="I352" s="770"/>
      <c r="J352" s="770"/>
      <c r="K352" s="770"/>
      <c r="L352" s="770"/>
      <c r="M352" s="770"/>
      <c r="N352" s="874"/>
      <c r="O352" s="824">
        <v>0.15</v>
      </c>
      <c r="P352" s="829">
        <f>G352*O352</f>
        <v>919.94999999999993</v>
      </c>
      <c r="Q352" s="824"/>
      <c r="R352" s="821">
        <f>G352+I352+K352+L352+N352+P352+Q352</f>
        <v>7052.95</v>
      </c>
      <c r="S352" s="821"/>
      <c r="T352" s="821">
        <v>0.5</v>
      </c>
      <c r="U352" s="770"/>
      <c r="V352" s="770"/>
      <c r="W352" s="770"/>
      <c r="X352" s="770">
        <v>13</v>
      </c>
      <c r="Y352" s="824">
        <v>0.2</v>
      </c>
      <c r="Z352" s="821">
        <f>R352*Y352</f>
        <v>1410.5900000000001</v>
      </c>
      <c r="AA352" s="821"/>
      <c r="AB352" s="821">
        <f>(R352+Z352)*T352+AA352</f>
        <v>4231.7700000000004</v>
      </c>
      <c r="AC352" s="825">
        <f>AF352</f>
        <v>5768.23</v>
      </c>
      <c r="AD352" s="825">
        <f>AB352+AC352</f>
        <v>10000</v>
      </c>
      <c r="AE352" s="826">
        <f>20000*T352</f>
        <v>10000</v>
      </c>
      <c r="AF352" s="826">
        <f>AE352-AB352</f>
        <v>5768.23</v>
      </c>
      <c r="AG352" s="827">
        <f>6700*T352</f>
        <v>3350</v>
      </c>
      <c r="AH352" s="826">
        <f>AB352-AG352</f>
        <v>881.77000000000044</v>
      </c>
      <c r="AI352" s="828">
        <f>G352*S352</f>
        <v>0</v>
      </c>
      <c r="AJ352" s="828">
        <f>G352*T352</f>
        <v>3066.5</v>
      </c>
      <c r="AK352" s="828">
        <f>R352*S352</f>
        <v>0</v>
      </c>
      <c r="AL352" s="828">
        <f>R352*T352</f>
        <v>3526.4749999999999</v>
      </c>
      <c r="AM352" s="828">
        <f>AK352-AI352</f>
        <v>0</v>
      </c>
      <c r="AN352" s="828">
        <f>AL352-AJ352</f>
        <v>459.97499999999991</v>
      </c>
      <c r="AO352" s="830">
        <f>Z352*S352</f>
        <v>0</v>
      </c>
      <c r="AP352" s="830">
        <f>Z352*T352</f>
        <v>705.29500000000007</v>
      </c>
      <c r="AQ352" s="830">
        <f>AA352</f>
        <v>0</v>
      </c>
      <c r="AR352" s="830">
        <f>W352*S352</f>
        <v>0</v>
      </c>
      <c r="AS352" s="830">
        <f>W352*T352</f>
        <v>0</v>
      </c>
      <c r="AT352" s="835">
        <f t="shared" si="452"/>
        <v>0</v>
      </c>
      <c r="AU352" s="835">
        <f t="shared" si="453"/>
        <v>3526.4749999999999</v>
      </c>
      <c r="AV352" s="828"/>
      <c r="AW352" s="944">
        <f>AT352+AU352-AV352</f>
        <v>3526.4749999999999</v>
      </c>
    </row>
    <row r="353" spans="2:55" s="196" customFormat="1" ht="31.5">
      <c r="B353" s="770"/>
      <c r="C353" s="799" t="s">
        <v>504</v>
      </c>
      <c r="D353" s="832"/>
      <c r="E353" s="812"/>
      <c r="F353" s="812"/>
      <c r="G353" s="802">
        <f>SUM(G352:G352)</f>
        <v>6133</v>
      </c>
      <c r="H353" s="875"/>
      <c r="I353" s="802"/>
      <c r="J353" s="875"/>
      <c r="K353" s="802"/>
      <c r="L353" s="802"/>
      <c r="M353" s="875"/>
      <c r="N353" s="802"/>
      <c r="O353" s="875"/>
      <c r="P353" s="802">
        <f>SUM(P352:P352)</f>
        <v>919.94999999999993</v>
      </c>
      <c r="Q353" s="802"/>
      <c r="R353" s="802">
        <f>SUM(R352:R352)</f>
        <v>7052.95</v>
      </c>
      <c r="S353" s="802">
        <f>SUM(S352:S352)</f>
        <v>0</v>
      </c>
      <c r="T353" s="802">
        <f>SUM(T352:T352)</f>
        <v>0.5</v>
      </c>
      <c r="U353" s="802"/>
      <c r="V353" s="802"/>
      <c r="W353" s="802"/>
      <c r="X353" s="802"/>
      <c r="Y353" s="802"/>
      <c r="Z353" s="802">
        <f t="shared" ref="Z353:AW353" si="478">SUM(Z352:Z352)</f>
        <v>1410.5900000000001</v>
      </c>
      <c r="AA353" s="802">
        <f t="shared" si="478"/>
        <v>0</v>
      </c>
      <c r="AB353" s="802">
        <f t="shared" si="478"/>
        <v>4231.7700000000004</v>
      </c>
      <c r="AC353" s="802">
        <f t="shared" si="478"/>
        <v>5768.23</v>
      </c>
      <c r="AD353" s="802">
        <f t="shared" si="478"/>
        <v>10000</v>
      </c>
      <c r="AE353" s="802">
        <f t="shared" si="478"/>
        <v>10000</v>
      </c>
      <c r="AF353" s="802">
        <f t="shared" si="478"/>
        <v>5768.23</v>
      </c>
      <c r="AG353" s="802">
        <f t="shared" si="478"/>
        <v>3350</v>
      </c>
      <c r="AH353" s="802">
        <f t="shared" si="478"/>
        <v>881.77000000000044</v>
      </c>
      <c r="AI353" s="802">
        <f t="shared" si="478"/>
        <v>0</v>
      </c>
      <c r="AJ353" s="802">
        <f t="shared" si="478"/>
        <v>3066.5</v>
      </c>
      <c r="AK353" s="802">
        <f t="shared" si="478"/>
        <v>0</v>
      </c>
      <c r="AL353" s="802">
        <f t="shared" si="478"/>
        <v>3526.4749999999999</v>
      </c>
      <c r="AM353" s="802">
        <f t="shared" si="478"/>
        <v>0</v>
      </c>
      <c r="AN353" s="802">
        <f t="shared" si="478"/>
        <v>459.97499999999991</v>
      </c>
      <c r="AO353" s="802">
        <f t="shared" si="478"/>
        <v>0</v>
      </c>
      <c r="AP353" s="802">
        <f t="shared" si="478"/>
        <v>705.29500000000007</v>
      </c>
      <c r="AQ353" s="802">
        <f t="shared" si="478"/>
        <v>0</v>
      </c>
      <c r="AR353" s="802">
        <f t="shared" si="478"/>
        <v>0</v>
      </c>
      <c r="AS353" s="802">
        <f t="shared" si="478"/>
        <v>0</v>
      </c>
      <c r="AT353" s="802">
        <f t="shared" si="478"/>
        <v>0</v>
      </c>
      <c r="AU353" s="802">
        <f t="shared" si="478"/>
        <v>3526.4749999999999</v>
      </c>
      <c r="AV353" s="802">
        <f t="shared" si="478"/>
        <v>0</v>
      </c>
      <c r="AW353" s="802">
        <f t="shared" si="478"/>
        <v>3526.4749999999999</v>
      </c>
    </row>
    <row r="354" spans="2:55" s="196" customFormat="1" ht="33">
      <c r="B354" s="770"/>
      <c r="C354" s="851" t="s">
        <v>1988</v>
      </c>
      <c r="D354" s="811"/>
      <c r="E354" s="812"/>
      <c r="F354" s="812"/>
      <c r="G354" s="812"/>
      <c r="H354" s="813"/>
      <c r="I354" s="812"/>
      <c r="J354" s="813"/>
      <c r="K354" s="812"/>
      <c r="L354" s="812"/>
      <c r="M354" s="813"/>
      <c r="N354" s="812"/>
      <c r="O354" s="813"/>
      <c r="P354" s="812"/>
      <c r="Q354" s="812"/>
      <c r="R354" s="812"/>
      <c r="S354" s="812"/>
      <c r="T354" s="812"/>
      <c r="U354" s="812"/>
      <c r="V354" s="812"/>
      <c r="W354" s="812"/>
      <c r="X354" s="812"/>
      <c r="Y354" s="812"/>
      <c r="Z354" s="812"/>
      <c r="AA354" s="812"/>
      <c r="AB354" s="812"/>
      <c r="AC354" s="834"/>
      <c r="AD354" s="834"/>
      <c r="AE354" s="815"/>
      <c r="AF354" s="815"/>
      <c r="AG354" s="816"/>
      <c r="AH354" s="815"/>
      <c r="AI354" s="828"/>
      <c r="AJ354" s="828"/>
      <c r="AK354" s="828"/>
      <c r="AL354" s="828"/>
      <c r="AM354" s="828"/>
      <c r="AN354" s="828"/>
      <c r="AO354" s="830"/>
      <c r="AP354" s="830"/>
      <c r="AQ354" s="830"/>
      <c r="AR354" s="830"/>
      <c r="AS354" s="830"/>
      <c r="AT354" s="835"/>
      <c r="AU354" s="835"/>
      <c r="AV354" s="828"/>
      <c r="AW354" s="944"/>
    </row>
    <row r="355" spans="2:55" s="196" customFormat="1" ht="33">
      <c r="B355" s="770"/>
      <c r="C355" s="819" t="s">
        <v>1416</v>
      </c>
      <c r="D355" s="820" t="s">
        <v>521</v>
      </c>
      <c r="E355" s="770" t="s">
        <v>1417</v>
      </c>
      <c r="F355" s="831">
        <v>6</v>
      </c>
      <c r="G355" s="821">
        <v>4195</v>
      </c>
      <c r="H355" s="821"/>
      <c r="I355" s="821"/>
      <c r="J355" s="821"/>
      <c r="K355" s="821"/>
      <c r="L355" s="821"/>
      <c r="M355" s="821"/>
      <c r="N355" s="821"/>
      <c r="O355" s="824">
        <v>0.15</v>
      </c>
      <c r="P355" s="829">
        <f>G355*O355</f>
        <v>629.25</v>
      </c>
      <c r="Q355" s="821"/>
      <c r="R355" s="821">
        <f>G355+I355+K355+L355+N355+P355+Q355</f>
        <v>4824.25</v>
      </c>
      <c r="S355" s="821">
        <v>1</v>
      </c>
      <c r="T355" s="831"/>
      <c r="U355" s="831"/>
      <c r="V355" s="831"/>
      <c r="W355" s="831"/>
      <c r="X355" s="770">
        <v>22</v>
      </c>
      <c r="Y355" s="824">
        <v>0.3</v>
      </c>
      <c r="Z355" s="821">
        <f>R355*Y355</f>
        <v>1447.2749999999999</v>
      </c>
      <c r="AA355" s="821">
        <f>AH355</f>
        <v>428.47500000000014</v>
      </c>
      <c r="AB355" s="821">
        <f>(R355+Z355)*S355+AA355</f>
        <v>6700</v>
      </c>
      <c r="AC355" s="825">
        <f>AF355</f>
        <v>6800</v>
      </c>
      <c r="AD355" s="825">
        <f>AB355+AC355</f>
        <v>13500</v>
      </c>
      <c r="AE355" s="826">
        <f>13500*S355</f>
        <v>13500</v>
      </c>
      <c r="AF355" s="826">
        <f>AE355-AB355</f>
        <v>6800</v>
      </c>
      <c r="AG355" s="827">
        <f>6700*S355</f>
        <v>6700</v>
      </c>
      <c r="AH355" s="826">
        <f>AG355-(R355*S355)-Z355</f>
        <v>428.47500000000014</v>
      </c>
      <c r="AI355" s="828">
        <f>G355*S355</f>
        <v>4195</v>
      </c>
      <c r="AJ355" s="828">
        <f>G355*T355</f>
        <v>0</v>
      </c>
      <c r="AK355" s="828">
        <f>R355*S355</f>
        <v>4824.25</v>
      </c>
      <c r="AL355" s="828">
        <f>R355*T355</f>
        <v>0</v>
      </c>
      <c r="AM355" s="828">
        <f t="shared" ref="AM355:AN358" si="479">AK355-AI355</f>
        <v>629.25</v>
      </c>
      <c r="AN355" s="828">
        <f t="shared" si="479"/>
        <v>0</v>
      </c>
      <c r="AO355" s="830">
        <f>Z355*S355</f>
        <v>1447.2749999999999</v>
      </c>
      <c r="AP355" s="830">
        <f>Z355*T355</f>
        <v>0</v>
      </c>
      <c r="AQ355" s="830">
        <f>AA355</f>
        <v>428.47500000000014</v>
      </c>
      <c r="AR355" s="830">
        <f>W355*S355</f>
        <v>0</v>
      </c>
      <c r="AS355" s="830">
        <f>W355*T355</f>
        <v>0</v>
      </c>
      <c r="AT355" s="835">
        <f t="shared" si="452"/>
        <v>4824.25</v>
      </c>
      <c r="AU355" s="835">
        <f t="shared" si="453"/>
        <v>0</v>
      </c>
      <c r="AV355" s="828"/>
      <c r="AW355" s="944">
        <f>AT355+AU355-AV355</f>
        <v>4824.25</v>
      </c>
    </row>
    <row r="356" spans="2:55" s="196" customFormat="1" ht="58.5">
      <c r="B356" s="770"/>
      <c r="C356" s="819" t="s">
        <v>1416</v>
      </c>
      <c r="D356" s="820" t="s">
        <v>1684</v>
      </c>
      <c r="E356" s="770" t="s">
        <v>1418</v>
      </c>
      <c r="F356" s="831">
        <v>9</v>
      </c>
      <c r="G356" s="821">
        <v>5005</v>
      </c>
      <c r="H356" s="821"/>
      <c r="I356" s="821"/>
      <c r="J356" s="821"/>
      <c r="K356" s="821"/>
      <c r="L356" s="821"/>
      <c r="M356" s="821"/>
      <c r="N356" s="821"/>
      <c r="O356" s="824">
        <v>0.15</v>
      </c>
      <c r="P356" s="829">
        <f>G356*O356</f>
        <v>750.75</v>
      </c>
      <c r="Q356" s="821"/>
      <c r="R356" s="821">
        <f>G356+I356+K356+L356+N356+P356+Q356</f>
        <v>5755.75</v>
      </c>
      <c r="S356" s="821">
        <v>1</v>
      </c>
      <c r="T356" s="821"/>
      <c r="U356" s="821"/>
      <c r="V356" s="821"/>
      <c r="W356" s="821"/>
      <c r="X356" s="770">
        <v>44</v>
      </c>
      <c r="Y356" s="824">
        <v>0.3</v>
      </c>
      <c r="Z356" s="821">
        <f>R356*Y356</f>
        <v>1726.7249999999999</v>
      </c>
      <c r="AA356" s="821"/>
      <c r="AB356" s="821">
        <f>(R356+Z356)*S356</f>
        <v>7482.4750000000004</v>
      </c>
      <c r="AC356" s="825">
        <f>AF356</f>
        <v>6017.5249999999996</v>
      </c>
      <c r="AD356" s="825">
        <f>AB356+AC356</f>
        <v>13500</v>
      </c>
      <c r="AE356" s="826">
        <f>13500*S356</f>
        <v>13500</v>
      </c>
      <c r="AF356" s="826">
        <f>AE356-AB356</f>
        <v>6017.5249999999996</v>
      </c>
      <c r="AG356" s="827">
        <f>6700*S356</f>
        <v>6700</v>
      </c>
      <c r="AH356" s="826"/>
      <c r="AI356" s="828">
        <f>G356*S356</f>
        <v>5005</v>
      </c>
      <c r="AJ356" s="828">
        <f>G356*T356</f>
        <v>0</v>
      </c>
      <c r="AK356" s="828">
        <f>R356*S356</f>
        <v>5755.75</v>
      </c>
      <c r="AL356" s="828">
        <f>R356*T356</f>
        <v>0</v>
      </c>
      <c r="AM356" s="828">
        <f t="shared" si="479"/>
        <v>750.75</v>
      </c>
      <c r="AN356" s="828">
        <f t="shared" si="479"/>
        <v>0</v>
      </c>
      <c r="AO356" s="830">
        <f>Z356*S356</f>
        <v>1726.7249999999999</v>
      </c>
      <c r="AP356" s="830">
        <f>Z356*T356</f>
        <v>0</v>
      </c>
      <c r="AQ356" s="830">
        <f>AA356</f>
        <v>0</v>
      </c>
      <c r="AR356" s="830">
        <f>W356*S356</f>
        <v>0</v>
      </c>
      <c r="AS356" s="830">
        <f>W356*T356</f>
        <v>0</v>
      </c>
      <c r="AT356" s="835">
        <f t="shared" si="452"/>
        <v>5755.75</v>
      </c>
      <c r="AU356" s="835">
        <f t="shared" si="453"/>
        <v>0</v>
      </c>
      <c r="AV356" s="828"/>
      <c r="AW356" s="944">
        <f>AT356+AU356-AV356</f>
        <v>5755.75</v>
      </c>
    </row>
    <row r="357" spans="2:55" s="196" customFormat="1" ht="58.5">
      <c r="B357" s="770"/>
      <c r="C357" s="819" t="s">
        <v>1416</v>
      </c>
      <c r="D357" s="820" t="s">
        <v>1684</v>
      </c>
      <c r="E357" s="770" t="s">
        <v>1419</v>
      </c>
      <c r="F357" s="770">
        <v>9</v>
      </c>
      <c r="G357" s="821">
        <v>5005</v>
      </c>
      <c r="H357" s="821"/>
      <c r="I357" s="821"/>
      <c r="J357" s="821"/>
      <c r="K357" s="821"/>
      <c r="L357" s="821"/>
      <c r="M357" s="821"/>
      <c r="N357" s="821"/>
      <c r="O357" s="824">
        <v>0.15</v>
      </c>
      <c r="P357" s="829">
        <f>G357*O357</f>
        <v>750.75</v>
      </c>
      <c r="Q357" s="821"/>
      <c r="R357" s="821">
        <f>G357+I357+K357+L357+N357+P357+Q357</f>
        <v>5755.75</v>
      </c>
      <c r="S357" s="821">
        <v>1</v>
      </c>
      <c r="T357" s="821"/>
      <c r="U357" s="821"/>
      <c r="V357" s="821"/>
      <c r="W357" s="821"/>
      <c r="X357" s="770">
        <v>28</v>
      </c>
      <c r="Y357" s="824">
        <v>0.3</v>
      </c>
      <c r="Z357" s="821">
        <f>R357*Y357</f>
        <v>1726.7249999999999</v>
      </c>
      <c r="AA357" s="821"/>
      <c r="AB357" s="821">
        <f>(R357+Z357)*S357</f>
        <v>7482.4750000000004</v>
      </c>
      <c r="AC357" s="825">
        <f>AF357</f>
        <v>6017.5249999999996</v>
      </c>
      <c r="AD357" s="825">
        <f>AB357+AC357</f>
        <v>13500</v>
      </c>
      <c r="AE357" s="826">
        <f>13500*S357</f>
        <v>13500</v>
      </c>
      <c r="AF357" s="826">
        <f>AE357-AB357</f>
        <v>6017.5249999999996</v>
      </c>
      <c r="AG357" s="827">
        <f>6700*S357</f>
        <v>6700</v>
      </c>
      <c r="AH357" s="826"/>
      <c r="AI357" s="828">
        <f>G357*S357</f>
        <v>5005</v>
      </c>
      <c r="AJ357" s="828">
        <f>G357*T357</f>
        <v>0</v>
      </c>
      <c r="AK357" s="828">
        <f>R357*S357</f>
        <v>5755.75</v>
      </c>
      <c r="AL357" s="828">
        <f>R357*T357</f>
        <v>0</v>
      </c>
      <c r="AM357" s="828">
        <f t="shared" si="479"/>
        <v>750.75</v>
      </c>
      <c r="AN357" s="828">
        <f t="shared" si="479"/>
        <v>0</v>
      </c>
      <c r="AO357" s="830">
        <f>Z357*S357</f>
        <v>1726.7249999999999</v>
      </c>
      <c r="AP357" s="830">
        <f>Z357*T357</f>
        <v>0</v>
      </c>
      <c r="AQ357" s="830">
        <f>AA357</f>
        <v>0</v>
      </c>
      <c r="AR357" s="830">
        <f>W357*S357</f>
        <v>0</v>
      </c>
      <c r="AS357" s="830">
        <f>W357*T357</f>
        <v>0</v>
      </c>
      <c r="AT357" s="835">
        <f t="shared" si="452"/>
        <v>5755.75</v>
      </c>
      <c r="AU357" s="835">
        <f t="shared" si="453"/>
        <v>0</v>
      </c>
      <c r="AV357" s="828"/>
      <c r="AW357" s="944">
        <f>AT357+AU357-AV357</f>
        <v>5755.75</v>
      </c>
    </row>
    <row r="358" spans="2:55" s="196" customFormat="1" ht="58.5">
      <c r="B358" s="770"/>
      <c r="C358" s="819" t="s">
        <v>1416</v>
      </c>
      <c r="D358" s="820" t="s">
        <v>1685</v>
      </c>
      <c r="E358" s="770" t="s">
        <v>1420</v>
      </c>
      <c r="F358" s="831">
        <v>9</v>
      </c>
      <c r="G358" s="821">
        <v>5005</v>
      </c>
      <c r="H358" s="821"/>
      <c r="I358" s="821"/>
      <c r="J358" s="821"/>
      <c r="K358" s="821"/>
      <c r="L358" s="821"/>
      <c r="M358" s="821"/>
      <c r="N358" s="821"/>
      <c r="O358" s="824">
        <v>0.15</v>
      </c>
      <c r="P358" s="829">
        <f>G358*O358</f>
        <v>750.75</v>
      </c>
      <c r="Q358" s="821"/>
      <c r="R358" s="821">
        <f>G358+I358+K358+L358+N358+P358+Q358</f>
        <v>5755.75</v>
      </c>
      <c r="S358" s="821">
        <v>1</v>
      </c>
      <c r="T358" s="821"/>
      <c r="U358" s="821"/>
      <c r="V358" s="821"/>
      <c r="W358" s="821"/>
      <c r="X358" s="770">
        <v>21</v>
      </c>
      <c r="Y358" s="824">
        <v>0.3</v>
      </c>
      <c r="Z358" s="821">
        <f>R358*Y358</f>
        <v>1726.7249999999999</v>
      </c>
      <c r="AA358" s="821"/>
      <c r="AB358" s="821">
        <f>(R358+Z358)*S358</f>
        <v>7482.4750000000004</v>
      </c>
      <c r="AC358" s="825">
        <f>AF358</f>
        <v>6017.5249999999996</v>
      </c>
      <c r="AD358" s="825">
        <f>AB358+AC358</f>
        <v>13500</v>
      </c>
      <c r="AE358" s="826">
        <f>13500*S358</f>
        <v>13500</v>
      </c>
      <c r="AF358" s="826">
        <f>AE358-AB358</f>
        <v>6017.5249999999996</v>
      </c>
      <c r="AG358" s="827">
        <f>6700*S358</f>
        <v>6700</v>
      </c>
      <c r="AH358" s="826"/>
      <c r="AI358" s="828">
        <f>G358*S358</f>
        <v>5005</v>
      </c>
      <c r="AJ358" s="828">
        <f>G358*T358</f>
        <v>0</v>
      </c>
      <c r="AK358" s="828">
        <f>R358*S358</f>
        <v>5755.75</v>
      </c>
      <c r="AL358" s="828">
        <f>R358*T358</f>
        <v>0</v>
      </c>
      <c r="AM358" s="828">
        <f t="shared" si="479"/>
        <v>750.75</v>
      </c>
      <c r="AN358" s="828">
        <f t="shared" si="479"/>
        <v>0</v>
      </c>
      <c r="AO358" s="830">
        <f>Z358*S358</f>
        <v>1726.7249999999999</v>
      </c>
      <c r="AP358" s="830">
        <f>Z358*T358</f>
        <v>0</v>
      </c>
      <c r="AQ358" s="830">
        <f>AA358</f>
        <v>0</v>
      </c>
      <c r="AR358" s="830">
        <f>W358*S358</f>
        <v>0</v>
      </c>
      <c r="AS358" s="830">
        <f>W358*T358</f>
        <v>0</v>
      </c>
      <c r="AT358" s="835">
        <f t="shared" si="452"/>
        <v>5755.75</v>
      </c>
      <c r="AU358" s="835">
        <f t="shared" si="453"/>
        <v>0</v>
      </c>
      <c r="AV358" s="828"/>
      <c r="AW358" s="944">
        <f>AT358+AU358-AV358</f>
        <v>5755.75</v>
      </c>
    </row>
    <row r="359" spans="2:55" s="196" customFormat="1" ht="31.5">
      <c r="B359" s="770"/>
      <c r="C359" s="799" t="s">
        <v>504</v>
      </c>
      <c r="D359" s="832"/>
      <c r="E359" s="812"/>
      <c r="F359" s="812"/>
      <c r="G359" s="802">
        <f>SUM(G355:G358)</f>
        <v>19210</v>
      </c>
      <c r="H359" s="813"/>
      <c r="I359" s="812"/>
      <c r="J359" s="813"/>
      <c r="K359" s="812"/>
      <c r="L359" s="812"/>
      <c r="M359" s="813"/>
      <c r="N359" s="812"/>
      <c r="O359" s="813"/>
      <c r="P359" s="802">
        <f>SUM(P355:P358)</f>
        <v>2881.5</v>
      </c>
      <c r="Q359" s="812"/>
      <c r="R359" s="802">
        <f>SUM(R355:R358)</f>
        <v>22091.5</v>
      </c>
      <c r="S359" s="802">
        <f>SUM(S355:S358)</f>
        <v>4</v>
      </c>
      <c r="T359" s="802">
        <f>SUM(T355:T358)</f>
        <v>0</v>
      </c>
      <c r="U359" s="802"/>
      <c r="V359" s="802"/>
      <c r="W359" s="802"/>
      <c r="X359" s="802"/>
      <c r="Y359" s="802"/>
      <c r="Z359" s="802">
        <f>SUM(Z355:Z358)</f>
        <v>6627.4500000000007</v>
      </c>
      <c r="AA359" s="802">
        <f>SUM(AA355:AA358)</f>
        <v>428.47500000000014</v>
      </c>
      <c r="AB359" s="802">
        <f>SUM(AB355:AB358)</f>
        <v>29147.425000000003</v>
      </c>
      <c r="AC359" s="802">
        <f t="shared" ref="AC359:AW359" si="480">SUM(AC355:AC358)</f>
        <v>24852.574999999997</v>
      </c>
      <c r="AD359" s="802">
        <f t="shared" si="480"/>
        <v>54000</v>
      </c>
      <c r="AE359" s="802">
        <f t="shared" si="480"/>
        <v>54000</v>
      </c>
      <c r="AF359" s="802">
        <f t="shared" si="480"/>
        <v>24852.574999999997</v>
      </c>
      <c r="AG359" s="802">
        <f t="shared" si="480"/>
        <v>26800</v>
      </c>
      <c r="AH359" s="802">
        <f t="shared" si="480"/>
        <v>428.47500000000014</v>
      </c>
      <c r="AI359" s="802">
        <f t="shared" si="480"/>
        <v>19210</v>
      </c>
      <c r="AJ359" s="802">
        <f t="shared" si="480"/>
        <v>0</v>
      </c>
      <c r="AK359" s="802">
        <f t="shared" si="480"/>
        <v>22091.5</v>
      </c>
      <c r="AL359" s="802">
        <f t="shared" si="480"/>
        <v>0</v>
      </c>
      <c r="AM359" s="802">
        <f t="shared" si="480"/>
        <v>2881.5</v>
      </c>
      <c r="AN359" s="802">
        <f t="shared" si="480"/>
        <v>0</v>
      </c>
      <c r="AO359" s="802">
        <f t="shared" si="480"/>
        <v>6627.4500000000007</v>
      </c>
      <c r="AP359" s="802">
        <f t="shared" si="480"/>
        <v>0</v>
      </c>
      <c r="AQ359" s="802">
        <f t="shared" si="480"/>
        <v>428.47500000000014</v>
      </c>
      <c r="AR359" s="802">
        <f t="shared" si="480"/>
        <v>0</v>
      </c>
      <c r="AS359" s="802">
        <f t="shared" si="480"/>
        <v>0</v>
      </c>
      <c r="AT359" s="802">
        <f t="shared" si="480"/>
        <v>22091.5</v>
      </c>
      <c r="AU359" s="802">
        <f t="shared" si="480"/>
        <v>0</v>
      </c>
      <c r="AV359" s="802">
        <f t="shared" si="480"/>
        <v>0</v>
      </c>
      <c r="AW359" s="802">
        <f t="shared" si="480"/>
        <v>22091.5</v>
      </c>
    </row>
    <row r="360" spans="2:55" s="196" customFormat="1" ht="31.5">
      <c r="B360" s="770"/>
      <c r="C360" s="799" t="s">
        <v>1547</v>
      </c>
      <c r="D360" s="832"/>
      <c r="E360" s="812"/>
      <c r="F360" s="812"/>
      <c r="G360" s="802">
        <f>G353+G359</f>
        <v>25343</v>
      </c>
      <c r="H360" s="802"/>
      <c r="I360" s="802"/>
      <c r="J360" s="802"/>
      <c r="K360" s="802"/>
      <c r="L360" s="802"/>
      <c r="M360" s="802"/>
      <c r="N360" s="802"/>
      <c r="O360" s="802"/>
      <c r="P360" s="802">
        <f t="shared" ref="P360:AB360" si="481">P353+P359</f>
        <v>3801.45</v>
      </c>
      <c r="Q360" s="802">
        <f t="shared" si="481"/>
        <v>0</v>
      </c>
      <c r="R360" s="802">
        <f t="shared" si="481"/>
        <v>29144.45</v>
      </c>
      <c r="S360" s="802">
        <f t="shared" si="481"/>
        <v>4</v>
      </c>
      <c r="T360" s="802">
        <f t="shared" si="481"/>
        <v>0.5</v>
      </c>
      <c r="U360" s="802"/>
      <c r="V360" s="802"/>
      <c r="W360" s="802"/>
      <c r="X360" s="802"/>
      <c r="Y360" s="802"/>
      <c r="Z360" s="802">
        <f t="shared" si="481"/>
        <v>8038.0400000000009</v>
      </c>
      <c r="AA360" s="802">
        <f t="shared" si="481"/>
        <v>428.47500000000014</v>
      </c>
      <c r="AB360" s="802">
        <f t="shared" si="481"/>
        <v>33379.195000000007</v>
      </c>
      <c r="AC360" s="802">
        <f t="shared" ref="AC360:AW360" si="482">AC353+AC359</f>
        <v>30620.804999999997</v>
      </c>
      <c r="AD360" s="802">
        <f t="shared" si="482"/>
        <v>64000</v>
      </c>
      <c r="AE360" s="802">
        <f t="shared" si="482"/>
        <v>64000</v>
      </c>
      <c r="AF360" s="802">
        <f t="shared" si="482"/>
        <v>30620.804999999997</v>
      </c>
      <c r="AG360" s="802">
        <f t="shared" si="482"/>
        <v>30150</v>
      </c>
      <c r="AH360" s="802">
        <f t="shared" si="482"/>
        <v>1310.2450000000006</v>
      </c>
      <c r="AI360" s="802">
        <f t="shared" si="482"/>
        <v>19210</v>
      </c>
      <c r="AJ360" s="802">
        <f t="shared" si="482"/>
        <v>3066.5</v>
      </c>
      <c r="AK360" s="802">
        <f t="shared" si="482"/>
        <v>22091.5</v>
      </c>
      <c r="AL360" s="802">
        <f t="shared" si="482"/>
        <v>3526.4749999999999</v>
      </c>
      <c r="AM360" s="802">
        <f t="shared" si="482"/>
        <v>2881.5</v>
      </c>
      <c r="AN360" s="802">
        <f t="shared" si="482"/>
        <v>459.97499999999991</v>
      </c>
      <c r="AO360" s="802">
        <f t="shared" si="482"/>
        <v>6627.4500000000007</v>
      </c>
      <c r="AP360" s="802">
        <f t="shared" si="482"/>
        <v>705.29500000000007</v>
      </c>
      <c r="AQ360" s="802">
        <f t="shared" si="482"/>
        <v>428.47500000000014</v>
      </c>
      <c r="AR360" s="802">
        <f t="shared" si="482"/>
        <v>0</v>
      </c>
      <c r="AS360" s="802">
        <f t="shared" si="482"/>
        <v>0</v>
      </c>
      <c r="AT360" s="802">
        <f t="shared" si="482"/>
        <v>22091.5</v>
      </c>
      <c r="AU360" s="802">
        <f t="shared" si="482"/>
        <v>3526.4749999999999</v>
      </c>
      <c r="AV360" s="802">
        <f t="shared" si="482"/>
        <v>0</v>
      </c>
      <c r="AW360" s="802">
        <f t="shared" si="482"/>
        <v>25617.974999999999</v>
      </c>
    </row>
    <row r="361" spans="2:55" s="196" customFormat="1" ht="33">
      <c r="B361" s="770"/>
      <c r="C361" s="810" t="s">
        <v>1295</v>
      </c>
      <c r="D361" s="811"/>
      <c r="E361" s="812"/>
      <c r="F361" s="812"/>
      <c r="G361" s="812"/>
      <c r="H361" s="813"/>
      <c r="I361" s="812"/>
      <c r="J361" s="813"/>
      <c r="K361" s="812"/>
      <c r="L361" s="812"/>
      <c r="M361" s="813"/>
      <c r="N361" s="812"/>
      <c r="O361" s="813"/>
      <c r="P361" s="812"/>
      <c r="Q361" s="812"/>
      <c r="R361" s="812"/>
      <c r="S361" s="812"/>
      <c r="T361" s="812"/>
      <c r="U361" s="812"/>
      <c r="V361" s="812"/>
      <c r="W361" s="812"/>
      <c r="X361" s="812"/>
      <c r="Y361" s="812"/>
      <c r="Z361" s="812"/>
      <c r="AA361" s="812"/>
      <c r="AB361" s="812"/>
      <c r="AC361" s="834"/>
      <c r="AD361" s="834"/>
      <c r="AE361" s="815"/>
      <c r="AF361" s="815"/>
      <c r="AG361" s="816"/>
      <c r="AH361" s="815"/>
      <c r="AI361" s="828"/>
      <c r="AJ361" s="828"/>
      <c r="AK361" s="828"/>
      <c r="AL361" s="828"/>
      <c r="AM361" s="828"/>
      <c r="AN361" s="828"/>
      <c r="AO361" s="830"/>
      <c r="AP361" s="830"/>
      <c r="AQ361" s="830"/>
      <c r="AR361" s="830"/>
      <c r="AS361" s="830"/>
      <c r="AT361" s="835"/>
      <c r="AU361" s="835"/>
      <c r="AV361" s="828"/>
      <c r="AW361" s="944"/>
    </row>
    <row r="362" spans="2:55" s="196" customFormat="1" ht="33">
      <c r="B362" s="770"/>
      <c r="C362" s="851" t="s">
        <v>1720</v>
      </c>
      <c r="D362" s="845"/>
      <c r="E362" s="846"/>
      <c r="F362" s="846"/>
      <c r="G362" s="846"/>
      <c r="H362" s="847"/>
      <c r="I362" s="846"/>
      <c r="J362" s="847"/>
      <c r="K362" s="846"/>
      <c r="L362" s="846"/>
      <c r="M362" s="847"/>
      <c r="N362" s="846"/>
      <c r="O362" s="847"/>
      <c r="P362" s="846"/>
      <c r="Q362" s="846"/>
      <c r="R362" s="846"/>
      <c r="S362" s="846"/>
      <c r="T362" s="846"/>
      <c r="U362" s="846"/>
      <c r="V362" s="846"/>
      <c r="W362" s="846"/>
      <c r="X362" s="846"/>
      <c r="Y362" s="846"/>
      <c r="Z362" s="846"/>
      <c r="AA362" s="846"/>
      <c r="AB362" s="846"/>
      <c r="AC362" s="848"/>
      <c r="AD362" s="848"/>
      <c r="AE362" s="849"/>
      <c r="AF362" s="849"/>
      <c r="AG362" s="850"/>
      <c r="AH362" s="849"/>
      <c r="AI362" s="828"/>
      <c r="AJ362" s="828"/>
      <c r="AK362" s="828"/>
      <c r="AL362" s="828"/>
      <c r="AM362" s="828"/>
      <c r="AN362" s="828"/>
      <c r="AO362" s="830"/>
      <c r="AP362" s="830"/>
      <c r="AQ362" s="830"/>
      <c r="AR362" s="830"/>
      <c r="AS362" s="830"/>
      <c r="AT362" s="835"/>
      <c r="AU362" s="835"/>
      <c r="AV362" s="828"/>
      <c r="AW362" s="944"/>
      <c r="BC362" s="197"/>
    </row>
    <row r="363" spans="2:55" s="198" customFormat="1" ht="58.5">
      <c r="B363" s="770"/>
      <c r="C363" s="819" t="s">
        <v>1296</v>
      </c>
      <c r="D363" s="820" t="s">
        <v>1668</v>
      </c>
      <c r="E363" s="770" t="s">
        <v>1297</v>
      </c>
      <c r="F363" s="770">
        <v>13</v>
      </c>
      <c r="G363" s="821">
        <v>6567</v>
      </c>
      <c r="H363" s="824">
        <v>0.1</v>
      </c>
      <c r="I363" s="770">
        <f>G363*H363</f>
        <v>656.7</v>
      </c>
      <c r="J363" s="770"/>
      <c r="K363" s="770"/>
      <c r="L363" s="770"/>
      <c r="M363" s="770"/>
      <c r="N363" s="874"/>
      <c r="O363" s="824">
        <v>0.15</v>
      </c>
      <c r="P363" s="829">
        <f>(G363+I363)*O363</f>
        <v>1083.5549999999998</v>
      </c>
      <c r="Q363" s="824"/>
      <c r="R363" s="821">
        <f>G363+I363+K363+L363+N363+P363+Q363</f>
        <v>8307.2549999999992</v>
      </c>
      <c r="S363" s="821">
        <v>1</v>
      </c>
      <c r="T363" s="770"/>
      <c r="U363" s="770"/>
      <c r="V363" s="770"/>
      <c r="W363" s="770"/>
      <c r="X363" s="770">
        <v>32</v>
      </c>
      <c r="Y363" s="824">
        <v>0.3</v>
      </c>
      <c r="Z363" s="821">
        <f>R363*Y363</f>
        <v>2492.1764999999996</v>
      </c>
      <c r="AA363" s="821"/>
      <c r="AB363" s="821">
        <f>(R363+Z363)*S363</f>
        <v>10799.431499999999</v>
      </c>
      <c r="AC363" s="825">
        <f>AF363</f>
        <v>9200.5685000000012</v>
      </c>
      <c r="AD363" s="825">
        <f>AB363+AC363</f>
        <v>20000</v>
      </c>
      <c r="AE363" s="826">
        <f>20000*S363</f>
        <v>20000</v>
      </c>
      <c r="AF363" s="826">
        <f>AE363-AB363</f>
        <v>9200.5685000000012</v>
      </c>
      <c r="AG363" s="827">
        <f>6700*S363</f>
        <v>6700</v>
      </c>
      <c r="AH363" s="826">
        <f>AB363-AG363</f>
        <v>4099.4314999999988</v>
      </c>
      <c r="AI363" s="828">
        <f>G363*S363</f>
        <v>6567</v>
      </c>
      <c r="AJ363" s="828">
        <f>G363*T363</f>
        <v>0</v>
      </c>
      <c r="AK363" s="828">
        <f>R363*S363</f>
        <v>8307.2549999999992</v>
      </c>
      <c r="AL363" s="828">
        <f>R363*T363</f>
        <v>0</v>
      </c>
      <c r="AM363" s="828">
        <f>AK363-AI363</f>
        <v>1740.2549999999992</v>
      </c>
      <c r="AN363" s="828">
        <f>AL363-AJ363</f>
        <v>0</v>
      </c>
      <c r="AO363" s="830">
        <f>Z363*S363</f>
        <v>2492.1764999999996</v>
      </c>
      <c r="AP363" s="830">
        <f>Z363*T363</f>
        <v>0</v>
      </c>
      <c r="AQ363" s="830">
        <f>AA363</f>
        <v>0</v>
      </c>
      <c r="AR363" s="830">
        <f>W363*S363</f>
        <v>0</v>
      </c>
      <c r="AS363" s="830">
        <f>W363*T363</f>
        <v>0</v>
      </c>
      <c r="AT363" s="835">
        <f t="shared" si="452"/>
        <v>8307.2549999999992</v>
      </c>
      <c r="AU363" s="835">
        <f t="shared" si="453"/>
        <v>0</v>
      </c>
      <c r="AV363" s="828"/>
      <c r="AW363" s="944">
        <f>AT363+AU363-AV363</f>
        <v>8307.2549999999992</v>
      </c>
    </row>
    <row r="364" spans="2:55" s="198" customFormat="1" ht="31.5">
      <c r="B364" s="770"/>
      <c r="C364" s="799" t="s">
        <v>504</v>
      </c>
      <c r="D364" s="832"/>
      <c r="E364" s="812"/>
      <c r="F364" s="812"/>
      <c r="G364" s="802">
        <f>SUM(G363)</f>
        <v>6567</v>
      </c>
      <c r="H364" s="875"/>
      <c r="I364" s="802">
        <f>I363</f>
        <v>656.7</v>
      </c>
      <c r="J364" s="813"/>
      <c r="K364" s="812"/>
      <c r="L364" s="812"/>
      <c r="M364" s="813"/>
      <c r="N364" s="812"/>
      <c r="O364" s="813"/>
      <c r="P364" s="802">
        <f>P363</f>
        <v>1083.5549999999998</v>
      </c>
      <c r="Q364" s="812"/>
      <c r="R364" s="802">
        <f>SUM(R363)</f>
        <v>8307.2549999999992</v>
      </c>
      <c r="S364" s="802">
        <f>SUM(S363)</f>
        <v>1</v>
      </c>
      <c r="T364" s="802">
        <f>SUM(T363)</f>
        <v>0</v>
      </c>
      <c r="U364" s="802"/>
      <c r="V364" s="802"/>
      <c r="W364" s="802"/>
      <c r="X364" s="802"/>
      <c r="Y364" s="802"/>
      <c r="Z364" s="802">
        <f t="shared" ref="Z364:AW364" si="483">SUM(Z363)</f>
        <v>2492.1764999999996</v>
      </c>
      <c r="AA364" s="802">
        <f t="shared" si="483"/>
        <v>0</v>
      </c>
      <c r="AB364" s="802">
        <f t="shared" si="483"/>
        <v>10799.431499999999</v>
      </c>
      <c r="AC364" s="802">
        <f t="shared" si="483"/>
        <v>9200.5685000000012</v>
      </c>
      <c r="AD364" s="802">
        <f t="shared" si="483"/>
        <v>20000</v>
      </c>
      <c r="AE364" s="802">
        <f t="shared" si="483"/>
        <v>20000</v>
      </c>
      <c r="AF364" s="802">
        <f t="shared" si="483"/>
        <v>9200.5685000000012</v>
      </c>
      <c r="AG364" s="802">
        <f t="shared" si="483"/>
        <v>6700</v>
      </c>
      <c r="AH364" s="802">
        <f t="shared" si="483"/>
        <v>4099.4314999999988</v>
      </c>
      <c r="AI364" s="802">
        <f t="shared" si="483"/>
        <v>6567</v>
      </c>
      <c r="AJ364" s="802">
        <f t="shared" si="483"/>
        <v>0</v>
      </c>
      <c r="AK364" s="802">
        <f t="shared" si="483"/>
        <v>8307.2549999999992</v>
      </c>
      <c r="AL364" s="802">
        <f t="shared" si="483"/>
        <v>0</v>
      </c>
      <c r="AM364" s="802">
        <f t="shared" si="483"/>
        <v>1740.2549999999992</v>
      </c>
      <c r="AN364" s="802">
        <f t="shared" si="483"/>
        <v>0</v>
      </c>
      <c r="AO364" s="802">
        <f t="shared" si="483"/>
        <v>2492.1764999999996</v>
      </c>
      <c r="AP364" s="802">
        <f t="shared" si="483"/>
        <v>0</v>
      </c>
      <c r="AQ364" s="802">
        <f t="shared" si="483"/>
        <v>0</v>
      </c>
      <c r="AR364" s="802">
        <f t="shared" si="483"/>
        <v>0</v>
      </c>
      <c r="AS364" s="802">
        <f t="shared" si="483"/>
        <v>0</v>
      </c>
      <c r="AT364" s="802">
        <f t="shared" si="483"/>
        <v>8307.2549999999992</v>
      </c>
      <c r="AU364" s="802">
        <f t="shared" si="483"/>
        <v>0</v>
      </c>
      <c r="AV364" s="802">
        <f t="shared" si="483"/>
        <v>0</v>
      </c>
      <c r="AW364" s="802">
        <f t="shared" si="483"/>
        <v>8307.2549999999992</v>
      </c>
    </row>
    <row r="365" spans="2:55" s="196" customFormat="1" ht="33">
      <c r="B365" s="770"/>
      <c r="C365" s="851" t="s">
        <v>1988</v>
      </c>
      <c r="D365" s="811"/>
      <c r="E365" s="812"/>
      <c r="F365" s="812"/>
      <c r="G365" s="812"/>
      <c r="H365" s="813"/>
      <c r="I365" s="812"/>
      <c r="J365" s="813"/>
      <c r="K365" s="812"/>
      <c r="L365" s="812"/>
      <c r="M365" s="813"/>
      <c r="N365" s="812"/>
      <c r="O365" s="813"/>
      <c r="P365" s="812"/>
      <c r="Q365" s="812"/>
      <c r="R365" s="812"/>
      <c r="S365" s="812"/>
      <c r="T365" s="812"/>
      <c r="U365" s="812"/>
      <c r="V365" s="812"/>
      <c r="W365" s="812"/>
      <c r="X365" s="812"/>
      <c r="Y365" s="812"/>
      <c r="Z365" s="812"/>
      <c r="AA365" s="812"/>
      <c r="AB365" s="812"/>
      <c r="AC365" s="834"/>
      <c r="AD365" s="834"/>
      <c r="AE365" s="815"/>
      <c r="AF365" s="815"/>
      <c r="AG365" s="816"/>
      <c r="AH365" s="815"/>
      <c r="AI365" s="828"/>
      <c r="AJ365" s="828"/>
      <c r="AK365" s="828"/>
      <c r="AL365" s="828"/>
      <c r="AM365" s="828"/>
      <c r="AN365" s="828"/>
      <c r="AO365" s="830"/>
      <c r="AP365" s="830"/>
      <c r="AQ365" s="830"/>
      <c r="AR365" s="830"/>
      <c r="AS365" s="830"/>
      <c r="AT365" s="835"/>
      <c r="AU365" s="835"/>
      <c r="AV365" s="828"/>
      <c r="AW365" s="944"/>
    </row>
    <row r="366" spans="2:55" s="198" customFormat="1" ht="58.5">
      <c r="B366" s="770"/>
      <c r="C366" s="819" t="s">
        <v>1421</v>
      </c>
      <c r="D366" s="820" t="s">
        <v>1677</v>
      </c>
      <c r="E366" s="770" t="s">
        <v>587</v>
      </c>
      <c r="F366" s="770">
        <v>9</v>
      </c>
      <c r="G366" s="821">
        <v>5005</v>
      </c>
      <c r="H366" s="821"/>
      <c r="I366" s="821"/>
      <c r="J366" s="824"/>
      <c r="K366" s="824"/>
      <c r="L366" s="824"/>
      <c r="M366" s="821"/>
      <c r="N366" s="821"/>
      <c r="O366" s="824">
        <v>0.15</v>
      </c>
      <c r="P366" s="829">
        <f>G366*O366</f>
        <v>750.75</v>
      </c>
      <c r="Q366" s="831"/>
      <c r="R366" s="821">
        <f t="shared" ref="R366:R373" si="484">G366+I366+K366+L366+N366+P366+Q366</f>
        <v>5755.75</v>
      </c>
      <c r="S366" s="821">
        <v>1</v>
      </c>
      <c r="T366" s="821"/>
      <c r="U366" s="831"/>
      <c r="V366" s="831"/>
      <c r="W366" s="831"/>
      <c r="X366" s="770">
        <v>21</v>
      </c>
      <c r="Y366" s="824">
        <v>0.3</v>
      </c>
      <c r="Z366" s="821">
        <f t="shared" ref="Z366:Z373" si="485">R366*Y366</f>
        <v>1726.7249999999999</v>
      </c>
      <c r="AA366" s="821"/>
      <c r="AB366" s="821">
        <f>(R366+Z366)*S366+AA366</f>
        <v>7482.4750000000004</v>
      </c>
      <c r="AC366" s="825">
        <f t="shared" ref="AC366:AC373" si="486">AF366</f>
        <v>6017.5249999999996</v>
      </c>
      <c r="AD366" s="825">
        <f t="shared" ref="AD366:AD373" si="487">AB366+AC366</f>
        <v>13500</v>
      </c>
      <c r="AE366" s="826">
        <f t="shared" ref="AE366:AE373" si="488">13500*S366</f>
        <v>13500</v>
      </c>
      <c r="AF366" s="826">
        <f t="shared" ref="AF366:AF373" si="489">AE366-AB366</f>
        <v>6017.5249999999996</v>
      </c>
      <c r="AG366" s="827">
        <f t="shared" ref="AG366:AG373" si="490">6700*S366</f>
        <v>6700</v>
      </c>
      <c r="AH366" s="826"/>
      <c r="AI366" s="828">
        <f t="shared" ref="AI366:AI373" si="491">G366*S366</f>
        <v>5005</v>
      </c>
      <c r="AJ366" s="828">
        <f t="shared" ref="AJ366:AJ373" si="492">G366*T366</f>
        <v>0</v>
      </c>
      <c r="AK366" s="828">
        <f t="shared" ref="AK366:AK373" si="493">R366*S366</f>
        <v>5755.75</v>
      </c>
      <c r="AL366" s="828">
        <f t="shared" ref="AL366:AL373" si="494">R366*T366</f>
        <v>0</v>
      </c>
      <c r="AM366" s="828">
        <f t="shared" ref="AM366:AN372" si="495">AK366-AI366</f>
        <v>750.75</v>
      </c>
      <c r="AN366" s="828">
        <f t="shared" si="495"/>
        <v>0</v>
      </c>
      <c r="AO366" s="830">
        <f t="shared" ref="AO366:AO373" si="496">Z366*S366</f>
        <v>1726.7249999999999</v>
      </c>
      <c r="AP366" s="830">
        <f t="shared" ref="AP366:AP373" si="497">Z366*T366</f>
        <v>0</v>
      </c>
      <c r="AQ366" s="830">
        <f t="shared" ref="AQ366:AQ373" si="498">AA366</f>
        <v>0</v>
      </c>
      <c r="AR366" s="830">
        <f t="shared" ref="AR366:AR373" si="499">W366*S366</f>
        <v>0</v>
      </c>
      <c r="AS366" s="830">
        <f t="shared" ref="AS366:AS373" si="500">W366*T366</f>
        <v>0</v>
      </c>
      <c r="AT366" s="835">
        <f t="shared" si="452"/>
        <v>5755.75</v>
      </c>
      <c r="AU366" s="835">
        <f t="shared" si="453"/>
        <v>0</v>
      </c>
      <c r="AV366" s="828"/>
      <c r="AW366" s="944">
        <f t="shared" ref="AW366:AW373" si="501">AT366+AU366-AV366</f>
        <v>5755.75</v>
      </c>
      <c r="AX366" s="196"/>
      <c r="AY366" s="196"/>
      <c r="AZ366" s="196"/>
    </row>
    <row r="367" spans="2:55" s="198" customFormat="1" ht="58.5">
      <c r="B367" s="770"/>
      <c r="C367" s="819" t="s">
        <v>1421</v>
      </c>
      <c r="D367" s="820" t="s">
        <v>1379</v>
      </c>
      <c r="E367" s="770" t="s">
        <v>1422</v>
      </c>
      <c r="F367" s="770">
        <v>9</v>
      </c>
      <c r="G367" s="821">
        <v>5005</v>
      </c>
      <c r="H367" s="821"/>
      <c r="I367" s="821"/>
      <c r="J367" s="821"/>
      <c r="K367" s="821"/>
      <c r="L367" s="821"/>
      <c r="M367" s="821"/>
      <c r="N367" s="821"/>
      <c r="O367" s="824">
        <v>0.15</v>
      </c>
      <c r="P367" s="829">
        <f>G367*O367</f>
        <v>750.75</v>
      </c>
      <c r="Q367" s="821"/>
      <c r="R367" s="821">
        <f t="shared" si="484"/>
        <v>5755.75</v>
      </c>
      <c r="S367" s="821">
        <v>1</v>
      </c>
      <c r="T367" s="821"/>
      <c r="U367" s="821"/>
      <c r="V367" s="821"/>
      <c r="W367" s="821"/>
      <c r="X367" s="770">
        <v>18</v>
      </c>
      <c r="Y367" s="824">
        <v>0.2</v>
      </c>
      <c r="Z367" s="821">
        <f t="shared" si="485"/>
        <v>1151.1500000000001</v>
      </c>
      <c r="AA367" s="821"/>
      <c r="AB367" s="821">
        <f>(R367+Z367)*S367</f>
        <v>6906.9</v>
      </c>
      <c r="AC367" s="825">
        <f t="shared" si="486"/>
        <v>6593.1</v>
      </c>
      <c r="AD367" s="825">
        <f t="shared" si="487"/>
        <v>13500</v>
      </c>
      <c r="AE367" s="826">
        <f t="shared" si="488"/>
        <v>13500</v>
      </c>
      <c r="AF367" s="826">
        <f t="shared" si="489"/>
        <v>6593.1</v>
      </c>
      <c r="AG367" s="827">
        <f t="shared" si="490"/>
        <v>6700</v>
      </c>
      <c r="AH367" s="826"/>
      <c r="AI367" s="828">
        <f t="shared" si="491"/>
        <v>5005</v>
      </c>
      <c r="AJ367" s="828">
        <f t="shared" si="492"/>
        <v>0</v>
      </c>
      <c r="AK367" s="828">
        <f>R367*S367</f>
        <v>5755.75</v>
      </c>
      <c r="AL367" s="828">
        <f>R367*T367</f>
        <v>0</v>
      </c>
      <c r="AM367" s="828">
        <f>AK367-AI367</f>
        <v>750.75</v>
      </c>
      <c r="AN367" s="828">
        <f>AL367-AJ367</f>
        <v>0</v>
      </c>
      <c r="AO367" s="830">
        <f>Z367*S367</f>
        <v>1151.1500000000001</v>
      </c>
      <c r="AP367" s="830">
        <f>Z367*T367</f>
        <v>0</v>
      </c>
      <c r="AQ367" s="830">
        <f>AA367</f>
        <v>0</v>
      </c>
      <c r="AR367" s="830">
        <f>W367*S367</f>
        <v>0</v>
      </c>
      <c r="AS367" s="830">
        <f>W367*T367</f>
        <v>0</v>
      </c>
      <c r="AT367" s="835">
        <f t="shared" si="452"/>
        <v>5755.75</v>
      </c>
      <c r="AU367" s="835">
        <f t="shared" si="453"/>
        <v>0</v>
      </c>
      <c r="AV367" s="828"/>
      <c r="AW367" s="944">
        <f t="shared" si="501"/>
        <v>5755.75</v>
      </c>
      <c r="AX367" s="196"/>
      <c r="AY367" s="196"/>
      <c r="AZ367" s="196"/>
    </row>
    <row r="368" spans="2:55" s="198" customFormat="1" ht="58.5">
      <c r="B368" s="770"/>
      <c r="C368" s="819" t="s">
        <v>1421</v>
      </c>
      <c r="D368" s="820" t="s">
        <v>1424</v>
      </c>
      <c r="E368" s="770" t="s">
        <v>1425</v>
      </c>
      <c r="F368" s="770">
        <v>9</v>
      </c>
      <c r="G368" s="821">
        <v>5005</v>
      </c>
      <c r="H368" s="821"/>
      <c r="I368" s="821"/>
      <c r="J368" s="821"/>
      <c r="K368" s="821"/>
      <c r="L368" s="821"/>
      <c r="M368" s="821"/>
      <c r="N368" s="821"/>
      <c r="O368" s="824">
        <v>0.15</v>
      </c>
      <c r="P368" s="829">
        <f>G368*O368</f>
        <v>750.75</v>
      </c>
      <c r="Q368" s="821"/>
      <c r="R368" s="821">
        <f t="shared" si="484"/>
        <v>5755.75</v>
      </c>
      <c r="S368" s="821">
        <v>1</v>
      </c>
      <c r="T368" s="831"/>
      <c r="U368" s="831"/>
      <c r="V368" s="831"/>
      <c r="W368" s="831"/>
      <c r="X368" s="770">
        <v>27</v>
      </c>
      <c r="Y368" s="824">
        <v>0.3</v>
      </c>
      <c r="Z368" s="821">
        <f t="shared" si="485"/>
        <v>1726.7249999999999</v>
      </c>
      <c r="AA368" s="821"/>
      <c r="AB368" s="821">
        <f>(R368+Z368)*S368</f>
        <v>7482.4750000000004</v>
      </c>
      <c r="AC368" s="825">
        <f t="shared" si="486"/>
        <v>6017.5249999999996</v>
      </c>
      <c r="AD368" s="825">
        <f t="shared" si="487"/>
        <v>13500</v>
      </c>
      <c r="AE368" s="826">
        <f t="shared" si="488"/>
        <v>13500</v>
      </c>
      <c r="AF368" s="826">
        <f t="shared" si="489"/>
        <v>6017.5249999999996</v>
      </c>
      <c r="AG368" s="827">
        <f t="shared" si="490"/>
        <v>6700</v>
      </c>
      <c r="AH368" s="826"/>
      <c r="AI368" s="828">
        <f t="shared" si="491"/>
        <v>5005</v>
      </c>
      <c r="AJ368" s="828">
        <f t="shared" si="492"/>
        <v>0</v>
      </c>
      <c r="AK368" s="828">
        <f t="shared" si="493"/>
        <v>5755.75</v>
      </c>
      <c r="AL368" s="828">
        <f t="shared" si="494"/>
        <v>0</v>
      </c>
      <c r="AM368" s="828">
        <f t="shared" si="495"/>
        <v>750.75</v>
      </c>
      <c r="AN368" s="828">
        <f t="shared" si="495"/>
        <v>0</v>
      </c>
      <c r="AO368" s="830">
        <f t="shared" si="496"/>
        <v>1726.7249999999999</v>
      </c>
      <c r="AP368" s="830">
        <f t="shared" si="497"/>
        <v>0</v>
      </c>
      <c r="AQ368" s="830">
        <f t="shared" si="498"/>
        <v>0</v>
      </c>
      <c r="AR368" s="830">
        <f t="shared" si="499"/>
        <v>0</v>
      </c>
      <c r="AS368" s="830">
        <f t="shared" si="500"/>
        <v>0</v>
      </c>
      <c r="AT368" s="835">
        <f t="shared" si="452"/>
        <v>5755.75</v>
      </c>
      <c r="AU368" s="835">
        <f t="shared" si="453"/>
        <v>0</v>
      </c>
      <c r="AV368" s="828"/>
      <c r="AW368" s="944">
        <f t="shared" si="501"/>
        <v>5755.75</v>
      </c>
      <c r="AX368" s="196"/>
      <c r="AY368" s="196"/>
      <c r="AZ368" s="196"/>
    </row>
    <row r="369" spans="2:55" s="198" customFormat="1" ht="58.5">
      <c r="B369" s="770"/>
      <c r="C369" s="819" t="s">
        <v>1421</v>
      </c>
      <c r="D369" s="820" t="s">
        <v>1426</v>
      </c>
      <c r="E369" s="770" t="s">
        <v>1427</v>
      </c>
      <c r="F369" s="770">
        <v>9</v>
      </c>
      <c r="G369" s="821">
        <v>5005</v>
      </c>
      <c r="H369" s="821"/>
      <c r="I369" s="821"/>
      <c r="J369" s="821"/>
      <c r="K369" s="821"/>
      <c r="L369" s="821"/>
      <c r="M369" s="821"/>
      <c r="N369" s="821"/>
      <c r="O369" s="824">
        <v>0.15</v>
      </c>
      <c r="P369" s="829">
        <f>G369*O369</f>
        <v>750.75</v>
      </c>
      <c r="Q369" s="821"/>
      <c r="R369" s="821">
        <f t="shared" si="484"/>
        <v>5755.75</v>
      </c>
      <c r="S369" s="821">
        <v>1</v>
      </c>
      <c r="T369" s="821"/>
      <c r="U369" s="821"/>
      <c r="V369" s="821"/>
      <c r="W369" s="821"/>
      <c r="X369" s="770">
        <v>25</v>
      </c>
      <c r="Y369" s="824">
        <v>0.3</v>
      </c>
      <c r="Z369" s="821">
        <f t="shared" si="485"/>
        <v>1726.7249999999999</v>
      </c>
      <c r="AA369" s="821"/>
      <c r="AB369" s="821">
        <f>(R369+Z369)*S369</f>
        <v>7482.4750000000004</v>
      </c>
      <c r="AC369" s="825">
        <f t="shared" si="486"/>
        <v>6017.5249999999996</v>
      </c>
      <c r="AD369" s="825">
        <f t="shared" si="487"/>
        <v>13500</v>
      </c>
      <c r="AE369" s="826">
        <f t="shared" si="488"/>
        <v>13500</v>
      </c>
      <c r="AF369" s="826">
        <f t="shared" si="489"/>
        <v>6017.5249999999996</v>
      </c>
      <c r="AG369" s="827">
        <f t="shared" si="490"/>
        <v>6700</v>
      </c>
      <c r="AH369" s="826"/>
      <c r="AI369" s="828">
        <f t="shared" si="491"/>
        <v>5005</v>
      </c>
      <c r="AJ369" s="828">
        <f t="shared" si="492"/>
        <v>0</v>
      </c>
      <c r="AK369" s="828">
        <f t="shared" si="493"/>
        <v>5755.75</v>
      </c>
      <c r="AL369" s="828">
        <f t="shared" si="494"/>
        <v>0</v>
      </c>
      <c r="AM369" s="828">
        <f t="shared" si="495"/>
        <v>750.75</v>
      </c>
      <c r="AN369" s="828">
        <f t="shared" si="495"/>
        <v>0</v>
      </c>
      <c r="AO369" s="830">
        <f t="shared" si="496"/>
        <v>1726.7249999999999</v>
      </c>
      <c r="AP369" s="830">
        <f t="shared" si="497"/>
        <v>0</v>
      </c>
      <c r="AQ369" s="830">
        <f t="shared" si="498"/>
        <v>0</v>
      </c>
      <c r="AR369" s="830">
        <f t="shared" si="499"/>
        <v>0</v>
      </c>
      <c r="AS369" s="830">
        <f t="shared" si="500"/>
        <v>0</v>
      </c>
      <c r="AT369" s="835">
        <f t="shared" si="452"/>
        <v>5755.75</v>
      </c>
      <c r="AU369" s="835">
        <f t="shared" si="453"/>
        <v>0</v>
      </c>
      <c r="AV369" s="828"/>
      <c r="AW369" s="944">
        <f t="shared" si="501"/>
        <v>5755.75</v>
      </c>
      <c r="AX369" s="196"/>
      <c r="AY369" s="196"/>
      <c r="AZ369" s="196"/>
    </row>
    <row r="370" spans="2:55" s="798" customFormat="1" ht="58.5">
      <c r="B370" s="887"/>
      <c r="C370" s="888" t="s">
        <v>1421</v>
      </c>
      <c r="D370" s="889" t="s">
        <v>835</v>
      </c>
      <c r="E370" s="887" t="s">
        <v>834</v>
      </c>
      <c r="F370" s="887">
        <v>9</v>
      </c>
      <c r="G370" s="890">
        <v>5005</v>
      </c>
      <c r="H370" s="890"/>
      <c r="I370" s="890"/>
      <c r="J370" s="890"/>
      <c r="K370" s="890"/>
      <c r="L370" s="890"/>
      <c r="M370" s="890"/>
      <c r="N370" s="890"/>
      <c r="O370" s="891">
        <v>0.15</v>
      </c>
      <c r="P370" s="892">
        <f>G370*O370</f>
        <v>750.75</v>
      </c>
      <c r="Q370" s="890"/>
      <c r="R370" s="890">
        <f>G370+I370+K370+L370+N370+P370+Q370</f>
        <v>5755.75</v>
      </c>
      <c r="S370" s="890">
        <v>1</v>
      </c>
      <c r="T370" s="890"/>
      <c r="U370" s="890"/>
      <c r="V370" s="890"/>
      <c r="W370" s="890"/>
      <c r="X370" s="887">
        <v>22</v>
      </c>
      <c r="Y370" s="891">
        <v>0.3</v>
      </c>
      <c r="Z370" s="890">
        <f>R370*Y370</f>
        <v>1726.7249999999999</v>
      </c>
      <c r="AA370" s="890"/>
      <c r="AB370" s="890">
        <f>(R370+Z370)*S370</f>
        <v>7482.4750000000004</v>
      </c>
      <c r="AC370" s="893">
        <f>AF370</f>
        <v>6017.5249999999996</v>
      </c>
      <c r="AD370" s="893">
        <f>AB370+AC370</f>
        <v>13500</v>
      </c>
      <c r="AE370" s="894">
        <f>13500*S370</f>
        <v>13500</v>
      </c>
      <c r="AF370" s="894">
        <f>AE370-AB370</f>
        <v>6017.5249999999996</v>
      </c>
      <c r="AG370" s="895">
        <f>6700*S370</f>
        <v>6700</v>
      </c>
      <c r="AH370" s="894"/>
      <c r="AI370" s="896">
        <f>G370*S370</f>
        <v>5005</v>
      </c>
      <c r="AJ370" s="896">
        <f>G370*T370</f>
        <v>0</v>
      </c>
      <c r="AK370" s="896">
        <f>R370*S370</f>
        <v>5755.75</v>
      </c>
      <c r="AL370" s="896">
        <f>R370*T370</f>
        <v>0</v>
      </c>
      <c r="AM370" s="896">
        <f>AK370-AI370</f>
        <v>750.75</v>
      </c>
      <c r="AN370" s="896">
        <f>AL370-AJ370</f>
        <v>0</v>
      </c>
      <c r="AO370" s="897">
        <f>Z370*S370</f>
        <v>1726.7249999999999</v>
      </c>
      <c r="AP370" s="897">
        <f>Z370*T370</f>
        <v>0</v>
      </c>
      <c r="AQ370" s="897">
        <f>AA370</f>
        <v>0</v>
      </c>
      <c r="AR370" s="897">
        <f>W370*S370</f>
        <v>0</v>
      </c>
      <c r="AS370" s="897">
        <f>W370*T370</f>
        <v>0</v>
      </c>
      <c r="AT370" s="835">
        <f t="shared" si="452"/>
        <v>5755.75</v>
      </c>
      <c r="AU370" s="835">
        <f t="shared" si="453"/>
        <v>0</v>
      </c>
      <c r="AV370" s="896"/>
      <c r="AW370" s="947">
        <f t="shared" si="501"/>
        <v>5755.75</v>
      </c>
      <c r="AX370" s="797"/>
      <c r="AY370" s="797"/>
      <c r="AZ370" s="797"/>
    </row>
    <row r="371" spans="2:55" s="198" customFormat="1" ht="63">
      <c r="B371" s="770"/>
      <c r="C371" s="819" t="s">
        <v>1428</v>
      </c>
      <c r="D371" s="820" t="s">
        <v>588</v>
      </c>
      <c r="E371" s="770" t="s">
        <v>1423</v>
      </c>
      <c r="F371" s="770">
        <v>9</v>
      </c>
      <c r="G371" s="821">
        <v>5005</v>
      </c>
      <c r="H371" s="821"/>
      <c r="I371" s="821"/>
      <c r="J371" s="821"/>
      <c r="K371" s="821"/>
      <c r="L371" s="821"/>
      <c r="M371" s="821"/>
      <c r="N371" s="821"/>
      <c r="O371" s="821"/>
      <c r="P371" s="821"/>
      <c r="Q371" s="821"/>
      <c r="R371" s="821">
        <f t="shared" si="484"/>
        <v>5005</v>
      </c>
      <c r="S371" s="821">
        <v>1</v>
      </c>
      <c r="T371" s="821"/>
      <c r="U371" s="821"/>
      <c r="V371" s="821"/>
      <c r="W371" s="821"/>
      <c r="X371" s="770">
        <v>22</v>
      </c>
      <c r="Y371" s="824">
        <v>0.3</v>
      </c>
      <c r="Z371" s="821">
        <f t="shared" si="485"/>
        <v>1501.5</v>
      </c>
      <c r="AA371" s="821">
        <f>AH371</f>
        <v>193.5</v>
      </c>
      <c r="AB371" s="821">
        <f>(R371+Z371)*S371+AA371</f>
        <v>6700</v>
      </c>
      <c r="AC371" s="825">
        <f t="shared" si="486"/>
        <v>6800</v>
      </c>
      <c r="AD371" s="825">
        <f t="shared" si="487"/>
        <v>13500</v>
      </c>
      <c r="AE371" s="826">
        <f t="shared" si="488"/>
        <v>13500</v>
      </c>
      <c r="AF371" s="826">
        <f t="shared" si="489"/>
        <v>6800</v>
      </c>
      <c r="AG371" s="827">
        <f t="shared" si="490"/>
        <v>6700</v>
      </c>
      <c r="AH371" s="826">
        <f>AG371-(R371*S371)-Z371</f>
        <v>193.5</v>
      </c>
      <c r="AI371" s="828">
        <f t="shared" si="491"/>
        <v>5005</v>
      </c>
      <c r="AJ371" s="828">
        <f t="shared" si="492"/>
        <v>0</v>
      </c>
      <c r="AK371" s="828">
        <f t="shared" si="493"/>
        <v>5005</v>
      </c>
      <c r="AL371" s="828">
        <f t="shared" si="494"/>
        <v>0</v>
      </c>
      <c r="AM371" s="828">
        <f t="shared" si="495"/>
        <v>0</v>
      </c>
      <c r="AN371" s="828">
        <f t="shared" si="495"/>
        <v>0</v>
      </c>
      <c r="AO371" s="830">
        <f t="shared" si="496"/>
        <v>1501.5</v>
      </c>
      <c r="AP371" s="830">
        <f t="shared" si="497"/>
        <v>0</v>
      </c>
      <c r="AQ371" s="830">
        <f t="shared" si="498"/>
        <v>193.5</v>
      </c>
      <c r="AR371" s="830">
        <f t="shared" si="499"/>
        <v>0</v>
      </c>
      <c r="AS371" s="830">
        <f t="shared" si="500"/>
        <v>0</v>
      </c>
      <c r="AT371" s="835">
        <f t="shared" si="452"/>
        <v>5005</v>
      </c>
      <c r="AU371" s="835">
        <f t="shared" si="453"/>
        <v>0</v>
      </c>
      <c r="AV371" s="828"/>
      <c r="AW371" s="944">
        <f t="shared" si="501"/>
        <v>5005</v>
      </c>
      <c r="AX371" s="196"/>
      <c r="AY371" s="196"/>
      <c r="AZ371" s="196"/>
    </row>
    <row r="372" spans="2:55" s="198" customFormat="1" ht="58.5">
      <c r="B372" s="770"/>
      <c r="C372" s="819" t="s">
        <v>1429</v>
      </c>
      <c r="D372" s="820" t="s">
        <v>1336</v>
      </c>
      <c r="E372" s="770" t="s">
        <v>1430</v>
      </c>
      <c r="F372" s="770">
        <v>8</v>
      </c>
      <c r="G372" s="821">
        <v>4745</v>
      </c>
      <c r="H372" s="821"/>
      <c r="I372" s="821"/>
      <c r="J372" s="821"/>
      <c r="K372" s="821"/>
      <c r="L372" s="821"/>
      <c r="M372" s="821"/>
      <c r="N372" s="821"/>
      <c r="O372" s="821"/>
      <c r="P372" s="821"/>
      <c r="Q372" s="821"/>
      <c r="R372" s="821">
        <f t="shared" si="484"/>
        <v>4745</v>
      </c>
      <c r="S372" s="821">
        <v>1</v>
      </c>
      <c r="T372" s="821"/>
      <c r="U372" s="821"/>
      <c r="V372" s="821"/>
      <c r="W372" s="821"/>
      <c r="X372" s="770">
        <v>15</v>
      </c>
      <c r="Y372" s="824">
        <v>0.2</v>
      </c>
      <c r="Z372" s="821">
        <f t="shared" si="485"/>
        <v>949</v>
      </c>
      <c r="AA372" s="821">
        <f>AH372</f>
        <v>1006</v>
      </c>
      <c r="AB372" s="821">
        <f>(R372+Z372)*S372+AA372</f>
        <v>6700</v>
      </c>
      <c r="AC372" s="825">
        <f t="shared" si="486"/>
        <v>6800</v>
      </c>
      <c r="AD372" s="825">
        <f t="shared" si="487"/>
        <v>13500</v>
      </c>
      <c r="AE372" s="826">
        <f t="shared" si="488"/>
        <v>13500</v>
      </c>
      <c r="AF372" s="826">
        <f t="shared" si="489"/>
        <v>6800</v>
      </c>
      <c r="AG372" s="827">
        <f t="shared" si="490"/>
        <v>6700</v>
      </c>
      <c r="AH372" s="826">
        <f>AG372-(R372*S372)-Z372</f>
        <v>1006</v>
      </c>
      <c r="AI372" s="828">
        <f t="shared" si="491"/>
        <v>4745</v>
      </c>
      <c r="AJ372" s="828">
        <f t="shared" si="492"/>
        <v>0</v>
      </c>
      <c r="AK372" s="828">
        <f t="shared" si="493"/>
        <v>4745</v>
      </c>
      <c r="AL372" s="828">
        <f t="shared" si="494"/>
        <v>0</v>
      </c>
      <c r="AM372" s="828">
        <f t="shared" si="495"/>
        <v>0</v>
      </c>
      <c r="AN372" s="828">
        <f t="shared" si="495"/>
        <v>0</v>
      </c>
      <c r="AO372" s="830">
        <f t="shared" si="496"/>
        <v>949</v>
      </c>
      <c r="AP372" s="830">
        <f t="shared" si="497"/>
        <v>0</v>
      </c>
      <c r="AQ372" s="830">
        <f t="shared" si="498"/>
        <v>1006</v>
      </c>
      <c r="AR372" s="830">
        <f t="shared" si="499"/>
        <v>0</v>
      </c>
      <c r="AS372" s="830">
        <f t="shared" si="500"/>
        <v>0</v>
      </c>
      <c r="AT372" s="835">
        <f t="shared" si="452"/>
        <v>4745</v>
      </c>
      <c r="AU372" s="835">
        <f t="shared" si="453"/>
        <v>0</v>
      </c>
      <c r="AV372" s="828"/>
      <c r="AW372" s="944">
        <f t="shared" si="501"/>
        <v>4745</v>
      </c>
      <c r="AX372" s="196"/>
      <c r="AY372" s="196"/>
      <c r="AZ372" s="196"/>
    </row>
    <row r="373" spans="2:55" s="198" customFormat="1" ht="58.5">
      <c r="B373" s="770"/>
      <c r="C373" s="819" t="s">
        <v>1429</v>
      </c>
      <c r="D373" s="820" t="s">
        <v>1390</v>
      </c>
      <c r="E373" s="770" t="s">
        <v>1431</v>
      </c>
      <c r="F373" s="770">
        <v>9</v>
      </c>
      <c r="G373" s="821">
        <v>5005</v>
      </c>
      <c r="H373" s="821"/>
      <c r="I373" s="821"/>
      <c r="J373" s="821"/>
      <c r="K373" s="821"/>
      <c r="L373" s="821"/>
      <c r="M373" s="821"/>
      <c r="N373" s="821"/>
      <c r="O373" s="821"/>
      <c r="P373" s="821"/>
      <c r="Q373" s="821"/>
      <c r="R373" s="821">
        <f t="shared" si="484"/>
        <v>5005</v>
      </c>
      <c r="S373" s="821">
        <v>1</v>
      </c>
      <c r="T373" s="821"/>
      <c r="U373" s="821"/>
      <c r="V373" s="821"/>
      <c r="W373" s="821"/>
      <c r="X373" s="770">
        <v>29</v>
      </c>
      <c r="Y373" s="824">
        <v>0.3</v>
      </c>
      <c r="Z373" s="821">
        <f t="shared" si="485"/>
        <v>1501.5</v>
      </c>
      <c r="AA373" s="821">
        <f>AH373</f>
        <v>193.5</v>
      </c>
      <c r="AB373" s="821">
        <f>(R373+Z373)*S373+AA373</f>
        <v>6700</v>
      </c>
      <c r="AC373" s="825">
        <f t="shared" si="486"/>
        <v>6800</v>
      </c>
      <c r="AD373" s="825">
        <f t="shared" si="487"/>
        <v>13500</v>
      </c>
      <c r="AE373" s="826">
        <f t="shared" si="488"/>
        <v>13500</v>
      </c>
      <c r="AF373" s="826">
        <f t="shared" si="489"/>
        <v>6800</v>
      </c>
      <c r="AG373" s="827">
        <f t="shared" si="490"/>
        <v>6700</v>
      </c>
      <c r="AH373" s="826">
        <f>AG373-(R373*S373)-Z373</f>
        <v>193.5</v>
      </c>
      <c r="AI373" s="828">
        <f t="shared" si="491"/>
        <v>5005</v>
      </c>
      <c r="AJ373" s="828">
        <f t="shared" si="492"/>
        <v>0</v>
      </c>
      <c r="AK373" s="828">
        <f t="shared" si="493"/>
        <v>5005</v>
      </c>
      <c r="AL373" s="828">
        <f t="shared" si="494"/>
        <v>0</v>
      </c>
      <c r="AM373" s="828">
        <f>AK373-AI373</f>
        <v>0</v>
      </c>
      <c r="AN373" s="828">
        <f>AL373-AJ373</f>
        <v>0</v>
      </c>
      <c r="AO373" s="830">
        <f t="shared" si="496"/>
        <v>1501.5</v>
      </c>
      <c r="AP373" s="830">
        <f t="shared" si="497"/>
        <v>0</v>
      </c>
      <c r="AQ373" s="830">
        <f t="shared" si="498"/>
        <v>193.5</v>
      </c>
      <c r="AR373" s="830">
        <f t="shared" si="499"/>
        <v>0</v>
      </c>
      <c r="AS373" s="830">
        <f t="shared" si="500"/>
        <v>0</v>
      </c>
      <c r="AT373" s="835">
        <f t="shared" si="452"/>
        <v>5005</v>
      </c>
      <c r="AU373" s="835">
        <f t="shared" si="453"/>
        <v>0</v>
      </c>
      <c r="AV373" s="828"/>
      <c r="AW373" s="944">
        <f t="shared" si="501"/>
        <v>5005</v>
      </c>
      <c r="AX373" s="196"/>
      <c r="AY373" s="196"/>
      <c r="AZ373" s="196"/>
    </row>
    <row r="374" spans="2:55" s="198" customFormat="1" ht="31.5">
      <c r="B374" s="770"/>
      <c r="C374" s="799" t="s">
        <v>504</v>
      </c>
      <c r="D374" s="832"/>
      <c r="E374" s="812"/>
      <c r="F374" s="812"/>
      <c r="G374" s="802">
        <f>SUM(G366:G373)</f>
        <v>39780</v>
      </c>
      <c r="H374" s="813"/>
      <c r="I374" s="812"/>
      <c r="J374" s="813"/>
      <c r="K374" s="812"/>
      <c r="L374" s="812"/>
      <c r="M374" s="813"/>
      <c r="N374" s="812"/>
      <c r="O374" s="813"/>
      <c r="P374" s="804">
        <f>SUM(P366:P373)</f>
        <v>3753.75</v>
      </c>
      <c r="Q374" s="802"/>
      <c r="R374" s="802">
        <f>SUM(R366:R373)</f>
        <v>43533.75</v>
      </c>
      <c r="S374" s="802">
        <f>SUM(S366:S373)</f>
        <v>8</v>
      </c>
      <c r="T374" s="802">
        <f>SUM(T366:T373)</f>
        <v>0</v>
      </c>
      <c r="U374" s="802"/>
      <c r="V374" s="802"/>
      <c r="W374" s="802"/>
      <c r="X374" s="802"/>
      <c r="Y374" s="802"/>
      <c r="Z374" s="802">
        <f t="shared" ref="Z374:AW374" si="502">SUM(Z366:Z373)</f>
        <v>12010.050000000001</v>
      </c>
      <c r="AA374" s="802">
        <f t="shared" si="502"/>
        <v>1393</v>
      </c>
      <c r="AB374" s="802">
        <f t="shared" si="502"/>
        <v>56936.799999999996</v>
      </c>
      <c r="AC374" s="802">
        <f t="shared" si="502"/>
        <v>51063.200000000004</v>
      </c>
      <c r="AD374" s="802">
        <f t="shared" si="502"/>
        <v>108000</v>
      </c>
      <c r="AE374" s="802">
        <f t="shared" si="502"/>
        <v>108000</v>
      </c>
      <c r="AF374" s="802">
        <f t="shared" si="502"/>
        <v>51063.200000000004</v>
      </c>
      <c r="AG374" s="802">
        <f t="shared" si="502"/>
        <v>53600</v>
      </c>
      <c r="AH374" s="802">
        <f t="shared" si="502"/>
        <v>1393</v>
      </c>
      <c r="AI374" s="802">
        <f t="shared" si="502"/>
        <v>39780</v>
      </c>
      <c r="AJ374" s="802">
        <f t="shared" si="502"/>
        <v>0</v>
      </c>
      <c r="AK374" s="802">
        <f t="shared" si="502"/>
        <v>43533.75</v>
      </c>
      <c r="AL374" s="802">
        <f t="shared" si="502"/>
        <v>0</v>
      </c>
      <c r="AM374" s="802">
        <f t="shared" si="502"/>
        <v>3753.75</v>
      </c>
      <c r="AN374" s="802">
        <f t="shared" si="502"/>
        <v>0</v>
      </c>
      <c r="AO374" s="802">
        <f t="shared" si="502"/>
        <v>12010.050000000001</v>
      </c>
      <c r="AP374" s="802">
        <f t="shared" si="502"/>
        <v>0</v>
      </c>
      <c r="AQ374" s="802">
        <f t="shared" si="502"/>
        <v>1393</v>
      </c>
      <c r="AR374" s="802">
        <f t="shared" si="502"/>
        <v>0</v>
      </c>
      <c r="AS374" s="802">
        <f t="shared" si="502"/>
        <v>0</v>
      </c>
      <c r="AT374" s="802">
        <f t="shared" si="502"/>
        <v>43533.75</v>
      </c>
      <c r="AU374" s="802">
        <f t="shared" si="502"/>
        <v>0</v>
      </c>
      <c r="AV374" s="802">
        <f t="shared" si="502"/>
        <v>0</v>
      </c>
      <c r="AW374" s="802">
        <f t="shared" si="502"/>
        <v>43533.75</v>
      </c>
      <c r="AX374" s="196"/>
      <c r="AY374" s="196"/>
      <c r="AZ374" s="196"/>
    </row>
    <row r="375" spans="2:55" s="196" customFormat="1" ht="33">
      <c r="B375" s="770"/>
      <c r="C375" s="851" t="s">
        <v>802</v>
      </c>
      <c r="D375" s="832"/>
      <c r="E375" s="812"/>
      <c r="F375" s="812"/>
      <c r="G375" s="802"/>
      <c r="H375" s="875"/>
      <c r="I375" s="802"/>
      <c r="J375" s="813"/>
      <c r="K375" s="812"/>
      <c r="L375" s="812"/>
      <c r="M375" s="813"/>
      <c r="N375" s="812"/>
      <c r="O375" s="813"/>
      <c r="P375" s="812"/>
      <c r="Q375" s="812"/>
      <c r="R375" s="802"/>
      <c r="S375" s="802"/>
      <c r="T375" s="802"/>
      <c r="U375" s="802"/>
      <c r="V375" s="802"/>
      <c r="W375" s="802"/>
      <c r="X375" s="802"/>
      <c r="Y375" s="802"/>
      <c r="Z375" s="802"/>
      <c r="AA375" s="802"/>
      <c r="AB375" s="802"/>
      <c r="AC375" s="876"/>
      <c r="AD375" s="876"/>
      <c r="AE375" s="833"/>
      <c r="AF375" s="833"/>
      <c r="AG375" s="818"/>
      <c r="AH375" s="833"/>
      <c r="AI375" s="828"/>
      <c r="AJ375" s="828"/>
      <c r="AK375" s="828"/>
      <c r="AL375" s="828"/>
      <c r="AM375" s="828"/>
      <c r="AN375" s="828"/>
      <c r="AO375" s="830"/>
      <c r="AP375" s="830"/>
      <c r="AQ375" s="830"/>
      <c r="AR375" s="830"/>
      <c r="AS375" s="830"/>
      <c r="AT375" s="835"/>
      <c r="AU375" s="835"/>
      <c r="AV375" s="828"/>
      <c r="AW375" s="944"/>
    </row>
    <row r="376" spans="2:55" s="198" customFormat="1" ht="63">
      <c r="B376" s="770"/>
      <c r="C376" s="819" t="s">
        <v>1471</v>
      </c>
      <c r="D376" s="820"/>
      <c r="E376" s="770" t="s">
        <v>1686</v>
      </c>
      <c r="F376" s="770">
        <v>3</v>
      </c>
      <c r="G376" s="821">
        <v>3414</v>
      </c>
      <c r="H376" s="821"/>
      <c r="I376" s="821"/>
      <c r="J376" s="831"/>
      <c r="K376" s="831"/>
      <c r="L376" s="831"/>
      <c r="M376" s="831"/>
      <c r="N376" s="831"/>
      <c r="O376" s="831"/>
      <c r="P376" s="831"/>
      <c r="Q376" s="831"/>
      <c r="R376" s="821">
        <f>G376+I376+K376+L376+N376+P376+Q376</f>
        <v>3414</v>
      </c>
      <c r="S376" s="821">
        <v>1</v>
      </c>
      <c r="T376" s="831"/>
      <c r="U376" s="831"/>
      <c r="V376" s="824">
        <v>0.1</v>
      </c>
      <c r="W376" s="821">
        <f>R376*V376</f>
        <v>341.40000000000003</v>
      </c>
      <c r="X376" s="770"/>
      <c r="Y376" s="824"/>
      <c r="Z376" s="821"/>
      <c r="AA376" s="821">
        <f>AH376</f>
        <v>3286</v>
      </c>
      <c r="AB376" s="821">
        <f>(R376+Z376+U376+W376)*S376+AA376</f>
        <v>7041.4</v>
      </c>
      <c r="AC376" s="825">
        <f>AF376</f>
        <v>0</v>
      </c>
      <c r="AD376" s="825">
        <f>AB376+AC376</f>
        <v>7041.4</v>
      </c>
      <c r="AE376" s="826">
        <f>AB376</f>
        <v>7041.4</v>
      </c>
      <c r="AF376" s="826">
        <f>AE376-AB376</f>
        <v>0</v>
      </c>
      <c r="AG376" s="827">
        <f>6700*S376</f>
        <v>6700</v>
      </c>
      <c r="AH376" s="826">
        <f>AG376-(R376*S376)</f>
        <v>3286</v>
      </c>
      <c r="AI376" s="828">
        <f>G376*S376</f>
        <v>3414</v>
      </c>
      <c r="AJ376" s="828">
        <f>G376*T376</f>
        <v>0</v>
      </c>
      <c r="AK376" s="828">
        <f>R376*S376</f>
        <v>3414</v>
      </c>
      <c r="AL376" s="828">
        <f>R376*T376</f>
        <v>0</v>
      </c>
      <c r="AM376" s="828">
        <f>AK376-AI376</f>
        <v>0</v>
      </c>
      <c r="AN376" s="828">
        <f>AL376-AJ376</f>
        <v>0</v>
      </c>
      <c r="AO376" s="830">
        <f>Z376*S376</f>
        <v>0</v>
      </c>
      <c r="AP376" s="830">
        <f>Z376*T376</f>
        <v>0</v>
      </c>
      <c r="AQ376" s="830">
        <f>AA376</f>
        <v>3286</v>
      </c>
      <c r="AR376" s="830">
        <f>W376*S376</f>
        <v>341.40000000000003</v>
      </c>
      <c r="AS376" s="830">
        <f>W376*T376</f>
        <v>0</v>
      </c>
      <c r="AT376" s="835">
        <f t="shared" si="452"/>
        <v>3414</v>
      </c>
      <c r="AU376" s="835">
        <f t="shared" si="453"/>
        <v>0</v>
      </c>
      <c r="AV376" s="828"/>
      <c r="AW376" s="944">
        <f>AT376+AU376-AV376</f>
        <v>3414</v>
      </c>
      <c r="AX376" s="196"/>
      <c r="AY376" s="196"/>
    </row>
    <row r="377" spans="2:55" s="198" customFormat="1" ht="31.5">
      <c r="B377" s="770"/>
      <c r="C377" s="799" t="s">
        <v>504</v>
      </c>
      <c r="D377" s="832"/>
      <c r="E377" s="812"/>
      <c r="F377" s="812"/>
      <c r="G377" s="802">
        <f>SUM(G376:G376)</f>
        <v>3414</v>
      </c>
      <c r="H377" s="813"/>
      <c r="I377" s="812"/>
      <c r="J377" s="813"/>
      <c r="K377" s="812"/>
      <c r="L377" s="812"/>
      <c r="M377" s="813"/>
      <c r="N377" s="812"/>
      <c r="O377" s="813"/>
      <c r="P377" s="812"/>
      <c r="Q377" s="812"/>
      <c r="R377" s="802">
        <f>SUM(R376:R376)</f>
        <v>3414</v>
      </c>
      <c r="S377" s="802">
        <f>SUM(S376:S376)</f>
        <v>1</v>
      </c>
      <c r="T377" s="802">
        <f>SUM(T376:T376)</f>
        <v>0</v>
      </c>
      <c r="U377" s="802"/>
      <c r="V377" s="802"/>
      <c r="W377" s="802">
        <f>SUM(W376:W376)</f>
        <v>341.40000000000003</v>
      </c>
      <c r="X377" s="802"/>
      <c r="Y377" s="802"/>
      <c r="Z377" s="802"/>
      <c r="AA377" s="802">
        <f>SUM(AA376:AA376)</f>
        <v>3286</v>
      </c>
      <c r="AB377" s="802">
        <f>SUM(AB376:AB376)</f>
        <v>7041.4</v>
      </c>
      <c r="AC377" s="802">
        <f t="shared" ref="AC377:AW377" si="503">SUM(AC376:AC376)</f>
        <v>0</v>
      </c>
      <c r="AD377" s="802">
        <f t="shared" si="503"/>
        <v>7041.4</v>
      </c>
      <c r="AE377" s="802">
        <f t="shared" si="503"/>
        <v>7041.4</v>
      </c>
      <c r="AF377" s="802">
        <f t="shared" si="503"/>
        <v>0</v>
      </c>
      <c r="AG377" s="802">
        <f t="shared" si="503"/>
        <v>6700</v>
      </c>
      <c r="AH377" s="802">
        <f t="shared" si="503"/>
        <v>3286</v>
      </c>
      <c r="AI377" s="802">
        <f t="shared" si="503"/>
        <v>3414</v>
      </c>
      <c r="AJ377" s="802">
        <f t="shared" si="503"/>
        <v>0</v>
      </c>
      <c r="AK377" s="802">
        <f t="shared" si="503"/>
        <v>3414</v>
      </c>
      <c r="AL377" s="802">
        <f t="shared" si="503"/>
        <v>0</v>
      </c>
      <c r="AM377" s="802">
        <f t="shared" si="503"/>
        <v>0</v>
      </c>
      <c r="AN377" s="802">
        <f t="shared" si="503"/>
        <v>0</v>
      </c>
      <c r="AO377" s="802">
        <f t="shared" si="503"/>
        <v>0</v>
      </c>
      <c r="AP377" s="802">
        <f t="shared" si="503"/>
        <v>0</v>
      </c>
      <c r="AQ377" s="802">
        <f t="shared" si="503"/>
        <v>3286</v>
      </c>
      <c r="AR377" s="802">
        <f t="shared" si="503"/>
        <v>341.40000000000003</v>
      </c>
      <c r="AS377" s="802">
        <f t="shared" si="503"/>
        <v>0</v>
      </c>
      <c r="AT377" s="802">
        <f t="shared" si="503"/>
        <v>3414</v>
      </c>
      <c r="AU377" s="802">
        <f t="shared" si="503"/>
        <v>0</v>
      </c>
      <c r="AV377" s="802">
        <f t="shared" si="503"/>
        <v>0</v>
      </c>
      <c r="AW377" s="802">
        <f t="shared" si="503"/>
        <v>3414</v>
      </c>
    </row>
    <row r="378" spans="2:55" s="198" customFormat="1" ht="31.5">
      <c r="B378" s="770"/>
      <c r="C378" s="799" t="s">
        <v>1547</v>
      </c>
      <c r="D378" s="832"/>
      <c r="E378" s="812"/>
      <c r="F378" s="812"/>
      <c r="G378" s="802">
        <f>G364+G374+G377</f>
        <v>49761</v>
      </c>
      <c r="H378" s="802"/>
      <c r="I378" s="802">
        <f>I364+I374+I377</f>
        <v>656.7</v>
      </c>
      <c r="J378" s="802"/>
      <c r="K378" s="802"/>
      <c r="L378" s="802"/>
      <c r="M378" s="802"/>
      <c r="N378" s="802"/>
      <c r="O378" s="802"/>
      <c r="P378" s="802">
        <f>P364+P374+P377</f>
        <v>4837.3050000000003</v>
      </c>
      <c r="Q378" s="802"/>
      <c r="R378" s="802">
        <f>R364+R374+R377</f>
        <v>55255.004999999997</v>
      </c>
      <c r="S378" s="802">
        <f>S364+S374+S377</f>
        <v>10</v>
      </c>
      <c r="T378" s="802">
        <f>T364+T374+T377</f>
        <v>0</v>
      </c>
      <c r="U378" s="802"/>
      <c r="V378" s="802"/>
      <c r="W378" s="802">
        <f>W364+W374+W377</f>
        <v>341.40000000000003</v>
      </c>
      <c r="X378" s="802"/>
      <c r="Y378" s="802"/>
      <c r="Z378" s="802">
        <f t="shared" ref="Z378:AW378" si="504">Z364+Z374+Z377</f>
        <v>14502.226500000001</v>
      </c>
      <c r="AA378" s="802">
        <f t="shared" si="504"/>
        <v>4679</v>
      </c>
      <c r="AB378" s="802">
        <f t="shared" si="504"/>
        <v>74777.631499999989</v>
      </c>
      <c r="AC378" s="802">
        <f t="shared" si="504"/>
        <v>60263.768500000006</v>
      </c>
      <c r="AD378" s="802">
        <f t="shared" si="504"/>
        <v>135041.4</v>
      </c>
      <c r="AE378" s="802">
        <f t="shared" si="504"/>
        <v>135041.4</v>
      </c>
      <c r="AF378" s="802">
        <f t="shared" si="504"/>
        <v>60263.768500000006</v>
      </c>
      <c r="AG378" s="802">
        <f t="shared" si="504"/>
        <v>67000</v>
      </c>
      <c r="AH378" s="802">
        <f t="shared" si="504"/>
        <v>8778.4314999999988</v>
      </c>
      <c r="AI378" s="802">
        <f t="shared" si="504"/>
        <v>49761</v>
      </c>
      <c r="AJ378" s="802">
        <f t="shared" si="504"/>
        <v>0</v>
      </c>
      <c r="AK378" s="802">
        <f t="shared" si="504"/>
        <v>55255.004999999997</v>
      </c>
      <c r="AL378" s="802">
        <f t="shared" si="504"/>
        <v>0</v>
      </c>
      <c r="AM378" s="802">
        <f t="shared" si="504"/>
        <v>5494.0049999999992</v>
      </c>
      <c r="AN378" s="802">
        <f t="shared" si="504"/>
        <v>0</v>
      </c>
      <c r="AO378" s="802">
        <f t="shared" si="504"/>
        <v>14502.226500000001</v>
      </c>
      <c r="AP378" s="802">
        <f t="shared" si="504"/>
        <v>0</v>
      </c>
      <c r="AQ378" s="802">
        <f t="shared" si="504"/>
        <v>4679</v>
      </c>
      <c r="AR378" s="802">
        <f t="shared" si="504"/>
        <v>341.40000000000003</v>
      </c>
      <c r="AS378" s="802">
        <f t="shared" si="504"/>
        <v>0</v>
      </c>
      <c r="AT378" s="802">
        <f t="shared" si="504"/>
        <v>55255.004999999997</v>
      </c>
      <c r="AU378" s="802">
        <f t="shared" si="504"/>
        <v>0</v>
      </c>
      <c r="AV378" s="802">
        <f t="shared" si="504"/>
        <v>0</v>
      </c>
      <c r="AW378" s="802">
        <f t="shared" si="504"/>
        <v>55255.004999999997</v>
      </c>
    </row>
    <row r="379" spans="2:55" s="198" customFormat="1" ht="33">
      <c r="B379" s="770"/>
      <c r="C379" s="844" t="s">
        <v>538</v>
      </c>
      <c r="D379" s="845"/>
      <c r="E379" s="846"/>
      <c r="F379" s="846"/>
      <c r="G379" s="846"/>
      <c r="H379" s="847"/>
      <c r="I379" s="846"/>
      <c r="J379" s="847"/>
      <c r="K379" s="846"/>
      <c r="L379" s="846"/>
      <c r="M379" s="847"/>
      <c r="N379" s="846"/>
      <c r="O379" s="847"/>
      <c r="P379" s="846"/>
      <c r="Q379" s="846"/>
      <c r="R379" s="846"/>
      <c r="S379" s="846"/>
      <c r="T379" s="846"/>
      <c r="U379" s="846"/>
      <c r="V379" s="846"/>
      <c r="W379" s="846"/>
      <c r="X379" s="846"/>
      <c r="Y379" s="846"/>
      <c r="Z379" s="846"/>
      <c r="AA379" s="846"/>
      <c r="AB379" s="846"/>
      <c r="AC379" s="848"/>
      <c r="AD379" s="848"/>
      <c r="AE379" s="849"/>
      <c r="AF379" s="849"/>
      <c r="AG379" s="850"/>
      <c r="AH379" s="849"/>
      <c r="AI379" s="828"/>
      <c r="AJ379" s="828"/>
      <c r="AK379" s="828"/>
      <c r="AL379" s="828"/>
      <c r="AM379" s="828"/>
      <c r="AN379" s="828"/>
      <c r="AO379" s="830"/>
      <c r="AP379" s="830"/>
      <c r="AQ379" s="830"/>
      <c r="AR379" s="830"/>
      <c r="AS379" s="830"/>
      <c r="AT379" s="835"/>
      <c r="AU379" s="835"/>
      <c r="AV379" s="828"/>
      <c r="AW379" s="944"/>
      <c r="AX379" s="196"/>
      <c r="AY379" s="196"/>
      <c r="AZ379" s="196"/>
    </row>
    <row r="380" spans="2:55" s="196" customFormat="1" ht="33">
      <c r="B380" s="770"/>
      <c r="C380" s="851" t="s">
        <v>1720</v>
      </c>
      <c r="D380" s="845"/>
      <c r="E380" s="846"/>
      <c r="F380" s="846"/>
      <c r="G380" s="846"/>
      <c r="H380" s="847"/>
      <c r="I380" s="846"/>
      <c r="J380" s="847"/>
      <c r="K380" s="846"/>
      <c r="L380" s="846"/>
      <c r="M380" s="847"/>
      <c r="N380" s="846"/>
      <c r="O380" s="847"/>
      <c r="P380" s="846"/>
      <c r="Q380" s="846"/>
      <c r="R380" s="846"/>
      <c r="S380" s="846"/>
      <c r="T380" s="846"/>
      <c r="U380" s="846"/>
      <c r="V380" s="846"/>
      <c r="W380" s="846"/>
      <c r="X380" s="846"/>
      <c r="Y380" s="846"/>
      <c r="Z380" s="846"/>
      <c r="AA380" s="846"/>
      <c r="AB380" s="846"/>
      <c r="AC380" s="848"/>
      <c r="AD380" s="848"/>
      <c r="AE380" s="849"/>
      <c r="AF380" s="849"/>
      <c r="AG380" s="850"/>
      <c r="AH380" s="849"/>
      <c r="AI380" s="828"/>
      <c r="AJ380" s="828"/>
      <c r="AK380" s="828"/>
      <c r="AL380" s="828"/>
      <c r="AM380" s="828"/>
      <c r="AN380" s="828"/>
      <c r="AO380" s="830"/>
      <c r="AP380" s="830"/>
      <c r="AQ380" s="830"/>
      <c r="AR380" s="830"/>
      <c r="AS380" s="830"/>
      <c r="AT380" s="835"/>
      <c r="AU380" s="835"/>
      <c r="AV380" s="828"/>
      <c r="AW380" s="944"/>
      <c r="BC380" s="197"/>
    </row>
    <row r="381" spans="2:55" s="198" customFormat="1" ht="58.5">
      <c r="B381" s="770"/>
      <c r="C381" s="819" t="s">
        <v>1648</v>
      </c>
      <c r="D381" s="820" t="s">
        <v>785</v>
      </c>
      <c r="E381" s="770" t="s">
        <v>1649</v>
      </c>
      <c r="F381" s="770">
        <v>13</v>
      </c>
      <c r="G381" s="821">
        <v>6567</v>
      </c>
      <c r="H381" s="770"/>
      <c r="I381" s="770"/>
      <c r="J381" s="770"/>
      <c r="K381" s="770"/>
      <c r="L381" s="770"/>
      <c r="M381" s="770"/>
      <c r="N381" s="821"/>
      <c r="O381" s="770"/>
      <c r="P381" s="770"/>
      <c r="Q381" s="824"/>
      <c r="R381" s="821">
        <f>G381+I381+K381+L381+N381+P381+Q381</f>
        <v>6567</v>
      </c>
      <c r="S381" s="821">
        <v>1</v>
      </c>
      <c r="T381" s="821"/>
      <c r="U381" s="813"/>
      <c r="V381" s="824"/>
      <c r="W381" s="813"/>
      <c r="X381" s="813">
        <v>37</v>
      </c>
      <c r="Y381" s="824">
        <v>0.3</v>
      </c>
      <c r="Z381" s="821">
        <f>R381*Y381</f>
        <v>1970.1</v>
      </c>
      <c r="AA381" s="821"/>
      <c r="AB381" s="821">
        <f>(R381+Z381)*S381</f>
        <v>8537.1</v>
      </c>
      <c r="AC381" s="825">
        <f>AF381</f>
        <v>11462.9</v>
      </c>
      <c r="AD381" s="825">
        <f>AB381+AC381</f>
        <v>20000</v>
      </c>
      <c r="AE381" s="826">
        <f>20000*S381</f>
        <v>20000</v>
      </c>
      <c r="AF381" s="826">
        <f>AE381-AB381</f>
        <v>11462.9</v>
      </c>
      <c r="AG381" s="827">
        <f>6700*S381</f>
        <v>6700</v>
      </c>
      <c r="AH381" s="826">
        <f>AB381-AG381</f>
        <v>1837.1000000000004</v>
      </c>
      <c r="AI381" s="828">
        <f>G381*S381</f>
        <v>6567</v>
      </c>
      <c r="AJ381" s="828">
        <f>G381*T381</f>
        <v>0</v>
      </c>
      <c r="AK381" s="828">
        <f>R381*S381</f>
        <v>6567</v>
      </c>
      <c r="AL381" s="828">
        <f>R381*T381</f>
        <v>0</v>
      </c>
      <c r="AM381" s="828">
        <f>AK381-AI381</f>
        <v>0</v>
      </c>
      <c r="AN381" s="828">
        <f>AL381-AJ381</f>
        <v>0</v>
      </c>
      <c r="AO381" s="830">
        <f>Z381*S381</f>
        <v>1970.1</v>
      </c>
      <c r="AP381" s="830">
        <f>Z381*T381</f>
        <v>0</v>
      </c>
      <c r="AQ381" s="830">
        <f>AA381</f>
        <v>0</v>
      </c>
      <c r="AR381" s="830">
        <f>W381*S381</f>
        <v>0</v>
      </c>
      <c r="AS381" s="830">
        <f>W381*T381</f>
        <v>0</v>
      </c>
      <c r="AT381" s="835">
        <f t="shared" si="452"/>
        <v>6567</v>
      </c>
      <c r="AU381" s="835">
        <f t="shared" si="453"/>
        <v>0</v>
      </c>
      <c r="AV381" s="828"/>
      <c r="AW381" s="944">
        <f>AT381+AU381-AV381</f>
        <v>6567</v>
      </c>
      <c r="AX381" s="196"/>
      <c r="AY381" s="196"/>
      <c r="AZ381" s="196"/>
    </row>
    <row r="382" spans="2:55" s="198" customFormat="1" ht="31.5">
      <c r="B382" s="770"/>
      <c r="C382" s="799" t="s">
        <v>504</v>
      </c>
      <c r="D382" s="832"/>
      <c r="E382" s="813"/>
      <c r="F382" s="812"/>
      <c r="G382" s="804">
        <f>SUM(G381:G381)</f>
        <v>6567</v>
      </c>
      <c r="H382" s="867"/>
      <c r="I382" s="804"/>
      <c r="J382" s="867"/>
      <c r="K382" s="804"/>
      <c r="L382" s="804"/>
      <c r="M382" s="867"/>
      <c r="N382" s="804"/>
      <c r="O382" s="867"/>
      <c r="P382" s="804"/>
      <c r="Q382" s="804"/>
      <c r="R382" s="804">
        <f>SUM(R381:R381)</f>
        <v>6567</v>
      </c>
      <c r="S382" s="802">
        <f>SUM(S381:S381)</f>
        <v>1</v>
      </c>
      <c r="T382" s="802">
        <f>SUM(T381:T381)</f>
        <v>0</v>
      </c>
      <c r="U382" s="804"/>
      <c r="V382" s="804"/>
      <c r="W382" s="804"/>
      <c r="X382" s="804"/>
      <c r="Y382" s="804"/>
      <c r="Z382" s="804">
        <f t="shared" ref="Z382:AW382" si="505">SUM(Z381:Z381)</f>
        <v>1970.1</v>
      </c>
      <c r="AA382" s="804">
        <f t="shared" si="505"/>
        <v>0</v>
      </c>
      <c r="AB382" s="804">
        <f t="shared" si="505"/>
        <v>8537.1</v>
      </c>
      <c r="AC382" s="804">
        <f t="shared" si="505"/>
        <v>11462.9</v>
      </c>
      <c r="AD382" s="804">
        <f t="shared" si="505"/>
        <v>20000</v>
      </c>
      <c r="AE382" s="804">
        <f t="shared" si="505"/>
        <v>20000</v>
      </c>
      <c r="AF382" s="804">
        <f t="shared" si="505"/>
        <v>11462.9</v>
      </c>
      <c r="AG382" s="804">
        <f t="shared" si="505"/>
        <v>6700</v>
      </c>
      <c r="AH382" s="804">
        <f t="shared" si="505"/>
        <v>1837.1000000000004</v>
      </c>
      <c r="AI382" s="804">
        <f t="shared" si="505"/>
        <v>6567</v>
      </c>
      <c r="AJ382" s="804">
        <f t="shared" si="505"/>
        <v>0</v>
      </c>
      <c r="AK382" s="804">
        <f t="shared" si="505"/>
        <v>6567</v>
      </c>
      <c r="AL382" s="804">
        <f t="shared" si="505"/>
        <v>0</v>
      </c>
      <c r="AM382" s="804">
        <f t="shared" si="505"/>
        <v>0</v>
      </c>
      <c r="AN382" s="804">
        <f t="shared" si="505"/>
        <v>0</v>
      </c>
      <c r="AO382" s="804">
        <f t="shared" si="505"/>
        <v>1970.1</v>
      </c>
      <c r="AP382" s="804">
        <f t="shared" si="505"/>
        <v>0</v>
      </c>
      <c r="AQ382" s="804">
        <f t="shared" si="505"/>
        <v>0</v>
      </c>
      <c r="AR382" s="804">
        <f t="shared" si="505"/>
        <v>0</v>
      </c>
      <c r="AS382" s="804">
        <f t="shared" si="505"/>
        <v>0</v>
      </c>
      <c r="AT382" s="804">
        <f t="shared" si="505"/>
        <v>6567</v>
      </c>
      <c r="AU382" s="804">
        <f t="shared" si="505"/>
        <v>0</v>
      </c>
      <c r="AV382" s="804">
        <f t="shared" si="505"/>
        <v>0</v>
      </c>
      <c r="AW382" s="804">
        <f t="shared" si="505"/>
        <v>6567</v>
      </c>
      <c r="AX382" s="196"/>
      <c r="AY382" s="196"/>
      <c r="AZ382" s="196"/>
    </row>
    <row r="383" spans="2:55" s="196" customFormat="1" ht="33">
      <c r="B383" s="770"/>
      <c r="C383" s="851" t="s">
        <v>1988</v>
      </c>
      <c r="D383" s="811"/>
      <c r="E383" s="812"/>
      <c r="F383" s="812"/>
      <c r="G383" s="812"/>
      <c r="H383" s="813"/>
      <c r="I383" s="812"/>
      <c r="J383" s="813"/>
      <c r="K383" s="812"/>
      <c r="L383" s="812"/>
      <c r="M383" s="813"/>
      <c r="N383" s="812"/>
      <c r="O383" s="813"/>
      <c r="P383" s="812"/>
      <c r="Q383" s="812"/>
      <c r="R383" s="812"/>
      <c r="S383" s="812"/>
      <c r="T383" s="812"/>
      <c r="U383" s="812"/>
      <c r="V383" s="812"/>
      <c r="W383" s="812"/>
      <c r="X383" s="812"/>
      <c r="Y383" s="812"/>
      <c r="Z383" s="812"/>
      <c r="AA383" s="812"/>
      <c r="AB383" s="812"/>
      <c r="AC383" s="834"/>
      <c r="AD383" s="834"/>
      <c r="AE383" s="815"/>
      <c r="AF383" s="815"/>
      <c r="AG383" s="816"/>
      <c r="AH383" s="815"/>
      <c r="AI383" s="828"/>
      <c r="AJ383" s="828"/>
      <c r="AK383" s="828"/>
      <c r="AL383" s="828"/>
      <c r="AM383" s="828"/>
      <c r="AN383" s="828"/>
      <c r="AO383" s="830"/>
      <c r="AP383" s="830"/>
      <c r="AQ383" s="830"/>
      <c r="AR383" s="830"/>
      <c r="AS383" s="830"/>
      <c r="AT383" s="835"/>
      <c r="AU383" s="835"/>
      <c r="AV383" s="828"/>
      <c r="AW383" s="944"/>
    </row>
    <row r="384" spans="2:55" s="198" customFormat="1" ht="87.75">
      <c r="B384" s="770"/>
      <c r="C384" s="819" t="s">
        <v>572</v>
      </c>
      <c r="D384" s="820" t="s">
        <v>788</v>
      </c>
      <c r="E384" s="770" t="s">
        <v>573</v>
      </c>
      <c r="F384" s="770">
        <v>10</v>
      </c>
      <c r="G384" s="821">
        <v>5265</v>
      </c>
      <c r="H384" s="821"/>
      <c r="I384" s="821"/>
      <c r="J384" s="824"/>
      <c r="K384" s="824"/>
      <c r="L384" s="824"/>
      <c r="M384" s="821"/>
      <c r="N384" s="821"/>
      <c r="O384" s="821"/>
      <c r="P384" s="831"/>
      <c r="Q384" s="831"/>
      <c r="R384" s="821">
        <f>G384+I384+K384+L384+N384+P384+Q384</f>
        <v>5265</v>
      </c>
      <c r="S384" s="821">
        <v>1</v>
      </c>
      <c r="T384" s="821"/>
      <c r="U384" s="831"/>
      <c r="V384" s="831"/>
      <c r="W384" s="831"/>
      <c r="X384" s="770">
        <v>27</v>
      </c>
      <c r="Y384" s="824">
        <v>0.3</v>
      </c>
      <c r="Z384" s="821">
        <f>R384*Y384</f>
        <v>1579.5</v>
      </c>
      <c r="AA384" s="821"/>
      <c r="AB384" s="821">
        <f>(R384+Z384)*S384</f>
        <v>6844.5</v>
      </c>
      <c r="AC384" s="825">
        <f>AF384</f>
        <v>6655.5</v>
      </c>
      <c r="AD384" s="825">
        <f>AB384+AC384</f>
        <v>13500</v>
      </c>
      <c r="AE384" s="826">
        <f>13500*S384</f>
        <v>13500</v>
      </c>
      <c r="AF384" s="826">
        <f>AE384-AB384</f>
        <v>6655.5</v>
      </c>
      <c r="AG384" s="827">
        <f>6700*S384</f>
        <v>6700</v>
      </c>
      <c r="AH384" s="826"/>
      <c r="AI384" s="828">
        <f>G384*S384</f>
        <v>5265</v>
      </c>
      <c r="AJ384" s="828">
        <f>G384*T384</f>
        <v>0</v>
      </c>
      <c r="AK384" s="828">
        <f>R384*S384</f>
        <v>5265</v>
      </c>
      <c r="AL384" s="828">
        <f>R384*T384</f>
        <v>0</v>
      </c>
      <c r="AM384" s="828">
        <f t="shared" ref="AM384:AN386" si="506">AK384-AI384</f>
        <v>0</v>
      </c>
      <c r="AN384" s="828">
        <f t="shared" si="506"/>
        <v>0</v>
      </c>
      <c r="AO384" s="830">
        <f>Z384*S384</f>
        <v>1579.5</v>
      </c>
      <c r="AP384" s="830">
        <f>Z384*T384</f>
        <v>0</v>
      </c>
      <c r="AQ384" s="830">
        <f>AA384</f>
        <v>0</v>
      </c>
      <c r="AR384" s="830">
        <f>W384*S384</f>
        <v>0</v>
      </c>
      <c r="AS384" s="830">
        <f>W384*T384</f>
        <v>0</v>
      </c>
      <c r="AT384" s="835">
        <f t="shared" si="452"/>
        <v>5265</v>
      </c>
      <c r="AU384" s="835">
        <f t="shared" si="453"/>
        <v>0</v>
      </c>
      <c r="AV384" s="828"/>
      <c r="AW384" s="944">
        <f>AT384+AU384-AV384</f>
        <v>5265</v>
      </c>
    </row>
    <row r="385" spans="2:51" s="198" customFormat="1" ht="33">
      <c r="B385" s="770"/>
      <c r="C385" s="819" t="s">
        <v>574</v>
      </c>
      <c r="D385" s="820"/>
      <c r="E385" s="770" t="s">
        <v>511</v>
      </c>
      <c r="F385" s="770">
        <v>10</v>
      </c>
      <c r="G385" s="821">
        <v>5265</v>
      </c>
      <c r="H385" s="821"/>
      <c r="I385" s="821"/>
      <c r="J385" s="824"/>
      <c r="K385" s="824"/>
      <c r="L385" s="824"/>
      <c r="M385" s="821"/>
      <c r="N385" s="821"/>
      <c r="O385" s="821"/>
      <c r="P385" s="831"/>
      <c r="Q385" s="831"/>
      <c r="R385" s="821">
        <f>G385+I385+K385+L385+N385+P385+Q385</f>
        <v>5265</v>
      </c>
      <c r="S385" s="821">
        <v>1</v>
      </c>
      <c r="T385" s="821"/>
      <c r="U385" s="831"/>
      <c r="V385" s="831"/>
      <c r="W385" s="831"/>
      <c r="X385" s="770"/>
      <c r="Y385" s="824">
        <v>0</v>
      </c>
      <c r="Z385" s="821">
        <f>R385*Y385</f>
        <v>0</v>
      </c>
      <c r="AA385" s="821">
        <f>AH385</f>
        <v>1435</v>
      </c>
      <c r="AB385" s="821">
        <f>(R385+Z385)*S385+AA385</f>
        <v>6700</v>
      </c>
      <c r="AC385" s="825">
        <f>AF385</f>
        <v>6800</v>
      </c>
      <c r="AD385" s="825">
        <f>AB385+AC385</f>
        <v>13500</v>
      </c>
      <c r="AE385" s="826">
        <f>13500*S385</f>
        <v>13500</v>
      </c>
      <c r="AF385" s="826">
        <f>AE385-AB385</f>
        <v>6800</v>
      </c>
      <c r="AG385" s="827">
        <f>6700*S385</f>
        <v>6700</v>
      </c>
      <c r="AH385" s="826">
        <f>AG385-(R385*S385)-Z385</f>
        <v>1435</v>
      </c>
      <c r="AI385" s="828">
        <f>G385*S385</f>
        <v>5265</v>
      </c>
      <c r="AJ385" s="828">
        <f>G385*T385</f>
        <v>0</v>
      </c>
      <c r="AK385" s="828">
        <f>R385*S385</f>
        <v>5265</v>
      </c>
      <c r="AL385" s="828">
        <f>R385*T385</f>
        <v>0</v>
      </c>
      <c r="AM385" s="828">
        <f t="shared" si="506"/>
        <v>0</v>
      </c>
      <c r="AN385" s="828">
        <f t="shared" si="506"/>
        <v>0</v>
      </c>
      <c r="AO385" s="830">
        <f>Z385*S385</f>
        <v>0</v>
      </c>
      <c r="AP385" s="830">
        <f>Z385*T385</f>
        <v>0</v>
      </c>
      <c r="AQ385" s="830">
        <f>AA385</f>
        <v>1435</v>
      </c>
      <c r="AR385" s="830">
        <f>W385*S385</f>
        <v>0</v>
      </c>
      <c r="AS385" s="830">
        <f>W385*T385</f>
        <v>0</v>
      </c>
      <c r="AT385" s="835">
        <f t="shared" si="452"/>
        <v>5265</v>
      </c>
      <c r="AU385" s="835">
        <f t="shared" si="453"/>
        <v>0</v>
      </c>
      <c r="AV385" s="828"/>
      <c r="AW385" s="944">
        <f>AT385+AU385-AV385</f>
        <v>5265</v>
      </c>
      <c r="AX385" s="196"/>
      <c r="AY385" s="196"/>
    </row>
    <row r="386" spans="2:51" s="198" customFormat="1" ht="58.5">
      <c r="B386" s="770"/>
      <c r="C386" s="819" t="s">
        <v>1440</v>
      </c>
      <c r="D386" s="838" t="s">
        <v>1441</v>
      </c>
      <c r="E386" s="831" t="s">
        <v>575</v>
      </c>
      <c r="F386" s="770">
        <v>7</v>
      </c>
      <c r="G386" s="821">
        <v>4455</v>
      </c>
      <c r="H386" s="821"/>
      <c r="I386" s="821"/>
      <c r="J386" s="821"/>
      <c r="K386" s="821"/>
      <c r="L386" s="821"/>
      <c r="M386" s="821"/>
      <c r="N386" s="821"/>
      <c r="O386" s="821"/>
      <c r="P386" s="831"/>
      <c r="Q386" s="831"/>
      <c r="R386" s="821">
        <f>G386+I386+K386+L386+N386+P386+Q386</f>
        <v>4455</v>
      </c>
      <c r="S386" s="821">
        <v>1</v>
      </c>
      <c r="T386" s="821"/>
      <c r="U386" s="831"/>
      <c r="V386" s="831"/>
      <c r="W386" s="831"/>
      <c r="X386" s="770">
        <v>21</v>
      </c>
      <c r="Y386" s="824">
        <v>0.3</v>
      </c>
      <c r="Z386" s="821">
        <f>R386*Y386</f>
        <v>1336.5</v>
      </c>
      <c r="AA386" s="821">
        <f>AH386</f>
        <v>908.5</v>
      </c>
      <c r="AB386" s="821">
        <f>(R386+Z386)*S386+AA386</f>
        <v>6700</v>
      </c>
      <c r="AC386" s="825">
        <f>AF386</f>
        <v>6800</v>
      </c>
      <c r="AD386" s="825">
        <f>AB386+AC386</f>
        <v>13500</v>
      </c>
      <c r="AE386" s="826">
        <f>13500*S386</f>
        <v>13500</v>
      </c>
      <c r="AF386" s="826">
        <f>AE386-AB386</f>
        <v>6800</v>
      </c>
      <c r="AG386" s="827">
        <f>6700*S386</f>
        <v>6700</v>
      </c>
      <c r="AH386" s="826">
        <f>AG386-(R386*S386)-Z386</f>
        <v>908.5</v>
      </c>
      <c r="AI386" s="828">
        <f>G386*S386</f>
        <v>4455</v>
      </c>
      <c r="AJ386" s="828">
        <f>G386*T386</f>
        <v>0</v>
      </c>
      <c r="AK386" s="828">
        <f>R386*S386</f>
        <v>4455</v>
      </c>
      <c r="AL386" s="828">
        <f>R386*T386</f>
        <v>0</v>
      </c>
      <c r="AM386" s="828">
        <f t="shared" si="506"/>
        <v>0</v>
      </c>
      <c r="AN386" s="828">
        <f t="shared" si="506"/>
        <v>0</v>
      </c>
      <c r="AO386" s="830">
        <f>Z386*S386</f>
        <v>1336.5</v>
      </c>
      <c r="AP386" s="830">
        <f>Z386*T386</f>
        <v>0</v>
      </c>
      <c r="AQ386" s="830">
        <f>AA386</f>
        <v>908.5</v>
      </c>
      <c r="AR386" s="830">
        <f>W386*S386</f>
        <v>0</v>
      </c>
      <c r="AS386" s="830">
        <f>W386*T386</f>
        <v>0</v>
      </c>
      <c r="AT386" s="835">
        <f t="shared" si="452"/>
        <v>4455</v>
      </c>
      <c r="AU386" s="835">
        <f t="shared" si="453"/>
        <v>0</v>
      </c>
      <c r="AV386" s="828"/>
      <c r="AW386" s="944">
        <f>AT386+AU386-AV386</f>
        <v>4455</v>
      </c>
      <c r="AX386" s="196"/>
      <c r="AY386" s="196"/>
    </row>
    <row r="387" spans="2:51" s="198" customFormat="1" ht="31.5">
      <c r="B387" s="770"/>
      <c r="C387" s="799" t="s">
        <v>504</v>
      </c>
      <c r="D387" s="832"/>
      <c r="E387" s="813"/>
      <c r="F387" s="812"/>
      <c r="G387" s="804">
        <f>SUM(G384:G386)</f>
        <v>14985</v>
      </c>
      <c r="H387" s="867"/>
      <c r="I387" s="804"/>
      <c r="J387" s="867"/>
      <c r="K387" s="804"/>
      <c r="L387" s="804"/>
      <c r="M387" s="867"/>
      <c r="N387" s="804"/>
      <c r="O387" s="867"/>
      <c r="P387" s="804"/>
      <c r="Q387" s="804"/>
      <c r="R387" s="804">
        <f>SUM(R384:R386)</f>
        <v>14985</v>
      </c>
      <c r="S387" s="802">
        <f>SUM(S384:S386)</f>
        <v>3</v>
      </c>
      <c r="T387" s="802">
        <f>SUM(T384:T386)</f>
        <v>0</v>
      </c>
      <c r="U387" s="804"/>
      <c r="V387" s="804"/>
      <c r="W387" s="804"/>
      <c r="X387" s="804"/>
      <c r="Y387" s="804"/>
      <c r="Z387" s="804">
        <f>SUM(Z384:Z386)</f>
        <v>2916</v>
      </c>
      <c r="AA387" s="804">
        <f>SUM(AA384:AA386)</f>
        <v>2343.5</v>
      </c>
      <c r="AB387" s="804">
        <f>SUM(AB384:AB386)</f>
        <v>20244.5</v>
      </c>
      <c r="AC387" s="804">
        <f t="shared" ref="AC387:AW387" si="507">SUM(AC384:AC386)</f>
        <v>20255.5</v>
      </c>
      <c r="AD387" s="804">
        <f t="shared" si="507"/>
        <v>40500</v>
      </c>
      <c r="AE387" s="804">
        <f t="shared" si="507"/>
        <v>40500</v>
      </c>
      <c r="AF387" s="804">
        <f t="shared" si="507"/>
        <v>20255.5</v>
      </c>
      <c r="AG387" s="804">
        <f t="shared" si="507"/>
        <v>20100</v>
      </c>
      <c r="AH387" s="804">
        <f t="shared" si="507"/>
        <v>2343.5</v>
      </c>
      <c r="AI387" s="804">
        <f t="shared" si="507"/>
        <v>14985</v>
      </c>
      <c r="AJ387" s="804">
        <f t="shared" si="507"/>
        <v>0</v>
      </c>
      <c r="AK387" s="804">
        <f t="shared" si="507"/>
        <v>14985</v>
      </c>
      <c r="AL387" s="804">
        <f t="shared" si="507"/>
        <v>0</v>
      </c>
      <c r="AM387" s="804">
        <f t="shared" si="507"/>
        <v>0</v>
      </c>
      <c r="AN387" s="804">
        <f t="shared" si="507"/>
        <v>0</v>
      </c>
      <c r="AO387" s="804">
        <f t="shared" si="507"/>
        <v>2916</v>
      </c>
      <c r="AP387" s="804">
        <f t="shared" si="507"/>
        <v>0</v>
      </c>
      <c r="AQ387" s="804">
        <f t="shared" si="507"/>
        <v>2343.5</v>
      </c>
      <c r="AR387" s="804">
        <f t="shared" si="507"/>
        <v>0</v>
      </c>
      <c r="AS387" s="804">
        <f t="shared" si="507"/>
        <v>0</v>
      </c>
      <c r="AT387" s="804">
        <f t="shared" si="507"/>
        <v>14985</v>
      </c>
      <c r="AU387" s="804">
        <f t="shared" si="507"/>
        <v>0</v>
      </c>
      <c r="AV387" s="804">
        <f t="shared" si="507"/>
        <v>0</v>
      </c>
      <c r="AW387" s="804">
        <f t="shared" si="507"/>
        <v>14985</v>
      </c>
      <c r="AX387" s="196"/>
      <c r="AY387" s="196"/>
    </row>
    <row r="388" spans="2:51" s="198" customFormat="1" ht="31.5">
      <c r="B388" s="770"/>
      <c r="C388" s="799" t="s">
        <v>1547</v>
      </c>
      <c r="D388" s="832"/>
      <c r="E388" s="812"/>
      <c r="F388" s="812"/>
      <c r="G388" s="802">
        <f>G382+G387</f>
        <v>21552</v>
      </c>
      <c r="H388" s="802"/>
      <c r="I388" s="802"/>
      <c r="J388" s="802"/>
      <c r="K388" s="802"/>
      <c r="L388" s="802"/>
      <c r="M388" s="802"/>
      <c r="N388" s="802"/>
      <c r="O388" s="802"/>
      <c r="P388" s="802"/>
      <c r="Q388" s="802"/>
      <c r="R388" s="802">
        <f t="shared" ref="R388:AB388" si="508">R382+R387</f>
        <v>21552</v>
      </c>
      <c r="S388" s="802">
        <f t="shared" si="508"/>
        <v>4</v>
      </c>
      <c r="T388" s="802">
        <f t="shared" si="508"/>
        <v>0</v>
      </c>
      <c r="U388" s="802"/>
      <c r="V388" s="802"/>
      <c r="W388" s="802"/>
      <c r="X388" s="802"/>
      <c r="Y388" s="802"/>
      <c r="Z388" s="802">
        <f t="shared" si="508"/>
        <v>4886.1000000000004</v>
      </c>
      <c r="AA388" s="802">
        <f t="shared" si="508"/>
        <v>2343.5</v>
      </c>
      <c r="AB388" s="802">
        <f t="shared" si="508"/>
        <v>28781.599999999999</v>
      </c>
      <c r="AC388" s="802">
        <f t="shared" ref="AC388:AW388" si="509">AC382+AC387</f>
        <v>31718.400000000001</v>
      </c>
      <c r="AD388" s="802">
        <f t="shared" si="509"/>
        <v>60500</v>
      </c>
      <c r="AE388" s="802">
        <f t="shared" si="509"/>
        <v>60500</v>
      </c>
      <c r="AF388" s="802">
        <f t="shared" si="509"/>
        <v>31718.400000000001</v>
      </c>
      <c r="AG388" s="802">
        <f t="shared" si="509"/>
        <v>26800</v>
      </c>
      <c r="AH388" s="802">
        <f t="shared" si="509"/>
        <v>4180.6000000000004</v>
      </c>
      <c r="AI388" s="802">
        <f t="shared" si="509"/>
        <v>21552</v>
      </c>
      <c r="AJ388" s="802">
        <f t="shared" si="509"/>
        <v>0</v>
      </c>
      <c r="AK388" s="802">
        <f t="shared" si="509"/>
        <v>21552</v>
      </c>
      <c r="AL388" s="802">
        <f t="shared" si="509"/>
        <v>0</v>
      </c>
      <c r="AM388" s="802">
        <f t="shared" si="509"/>
        <v>0</v>
      </c>
      <c r="AN388" s="802">
        <f t="shared" si="509"/>
        <v>0</v>
      </c>
      <c r="AO388" s="802">
        <f t="shared" si="509"/>
        <v>4886.1000000000004</v>
      </c>
      <c r="AP388" s="802">
        <f t="shared" si="509"/>
        <v>0</v>
      </c>
      <c r="AQ388" s="802">
        <f t="shared" si="509"/>
        <v>2343.5</v>
      </c>
      <c r="AR388" s="802">
        <f t="shared" si="509"/>
        <v>0</v>
      </c>
      <c r="AS388" s="802">
        <f t="shared" si="509"/>
        <v>0</v>
      </c>
      <c r="AT388" s="802">
        <f t="shared" si="509"/>
        <v>21552</v>
      </c>
      <c r="AU388" s="802">
        <f t="shared" si="509"/>
        <v>0</v>
      </c>
      <c r="AV388" s="802">
        <f t="shared" si="509"/>
        <v>0</v>
      </c>
      <c r="AW388" s="802">
        <f t="shared" si="509"/>
        <v>21552</v>
      </c>
    </row>
    <row r="389" spans="2:51" s="196" customFormat="1" ht="33">
      <c r="B389" s="770"/>
      <c r="C389" s="810" t="s">
        <v>1303</v>
      </c>
      <c r="D389" s="811"/>
      <c r="E389" s="812"/>
      <c r="F389" s="812"/>
      <c r="G389" s="812"/>
      <c r="H389" s="813"/>
      <c r="I389" s="812"/>
      <c r="J389" s="813"/>
      <c r="K389" s="812"/>
      <c r="L389" s="812"/>
      <c r="M389" s="813"/>
      <c r="N389" s="812"/>
      <c r="O389" s="813"/>
      <c r="P389" s="812"/>
      <c r="Q389" s="812"/>
      <c r="R389" s="812"/>
      <c r="S389" s="812"/>
      <c r="T389" s="812"/>
      <c r="U389" s="812"/>
      <c r="V389" s="812"/>
      <c r="W389" s="812"/>
      <c r="X389" s="812"/>
      <c r="Y389" s="812"/>
      <c r="Z389" s="812"/>
      <c r="AA389" s="812"/>
      <c r="AB389" s="812"/>
      <c r="AC389" s="834"/>
      <c r="AD389" s="834"/>
      <c r="AE389" s="815"/>
      <c r="AF389" s="815"/>
      <c r="AG389" s="816"/>
      <c r="AH389" s="815"/>
      <c r="AI389" s="828">
        <f>G389*S389</f>
        <v>0</v>
      </c>
      <c r="AJ389" s="828">
        <f>G389*T389</f>
        <v>0</v>
      </c>
      <c r="AK389" s="828">
        <f>R389*S389</f>
        <v>0</v>
      </c>
      <c r="AL389" s="828">
        <f>R389*T389</f>
        <v>0</v>
      </c>
      <c r="AM389" s="828">
        <f t="shared" ref="AM389:AN391" si="510">AK389-AI389</f>
        <v>0</v>
      </c>
      <c r="AN389" s="828">
        <f t="shared" si="510"/>
        <v>0</v>
      </c>
      <c r="AO389" s="830">
        <f>Z389*S389</f>
        <v>0</v>
      </c>
      <c r="AP389" s="830">
        <f>Z389*T389</f>
        <v>0</v>
      </c>
      <c r="AQ389" s="830">
        <f>AA389</f>
        <v>0</v>
      </c>
      <c r="AR389" s="830">
        <f>W389*S389</f>
        <v>0</v>
      </c>
      <c r="AS389" s="830">
        <f>W389*T389</f>
        <v>0</v>
      </c>
      <c r="AT389" s="835">
        <f t="shared" si="452"/>
        <v>0</v>
      </c>
      <c r="AU389" s="835">
        <f t="shared" si="453"/>
        <v>0</v>
      </c>
      <c r="AV389" s="828"/>
      <c r="AW389" s="944">
        <f>AT389+AU389-AV389</f>
        <v>0</v>
      </c>
    </row>
    <row r="390" spans="2:51" s="196" customFormat="1" ht="58.5">
      <c r="B390" s="770"/>
      <c r="C390" s="819" t="s">
        <v>1306</v>
      </c>
      <c r="D390" s="820" t="s">
        <v>563</v>
      </c>
      <c r="E390" s="770" t="s">
        <v>564</v>
      </c>
      <c r="F390" s="770">
        <v>8</v>
      </c>
      <c r="G390" s="821">
        <v>4745</v>
      </c>
      <c r="H390" s="821"/>
      <c r="I390" s="821"/>
      <c r="J390" s="821"/>
      <c r="K390" s="821"/>
      <c r="L390" s="821"/>
      <c r="M390" s="821"/>
      <c r="N390" s="821"/>
      <c r="O390" s="821"/>
      <c r="P390" s="821"/>
      <c r="Q390" s="821"/>
      <c r="R390" s="821">
        <f>G390+I390+K390+L390+N390+P390+Q390</f>
        <v>4745</v>
      </c>
      <c r="S390" s="821">
        <v>1</v>
      </c>
      <c r="T390" s="821"/>
      <c r="U390" s="821"/>
      <c r="V390" s="821"/>
      <c r="W390" s="821"/>
      <c r="X390" s="770">
        <v>11</v>
      </c>
      <c r="Y390" s="824">
        <v>0.2</v>
      </c>
      <c r="Z390" s="821">
        <f>R390*Y390</f>
        <v>949</v>
      </c>
      <c r="AA390" s="821">
        <f>AH390</f>
        <v>1006</v>
      </c>
      <c r="AB390" s="821">
        <f>(R390+Z390)*S390+AA390</f>
        <v>6700</v>
      </c>
      <c r="AC390" s="825">
        <f>AF390</f>
        <v>6800</v>
      </c>
      <c r="AD390" s="825">
        <f>AB390+AC390</f>
        <v>13500</v>
      </c>
      <c r="AE390" s="826">
        <f>13500*S390</f>
        <v>13500</v>
      </c>
      <c r="AF390" s="826">
        <f>AE390-AB390</f>
        <v>6800</v>
      </c>
      <c r="AG390" s="827">
        <f>6700*S390</f>
        <v>6700</v>
      </c>
      <c r="AH390" s="826">
        <f>AG390-(R390*S390)-Z390</f>
        <v>1006</v>
      </c>
      <c r="AI390" s="828">
        <f>G390*S390</f>
        <v>4745</v>
      </c>
      <c r="AJ390" s="828">
        <f>G390*T390</f>
        <v>0</v>
      </c>
      <c r="AK390" s="828">
        <f>R390*S390</f>
        <v>4745</v>
      </c>
      <c r="AL390" s="828">
        <f>R390*T390</f>
        <v>0</v>
      </c>
      <c r="AM390" s="828">
        <f t="shared" si="510"/>
        <v>0</v>
      </c>
      <c r="AN390" s="828">
        <f t="shared" si="510"/>
        <v>0</v>
      </c>
      <c r="AO390" s="830">
        <f>Z390*S390</f>
        <v>949</v>
      </c>
      <c r="AP390" s="830">
        <f>Z390*T390</f>
        <v>0</v>
      </c>
      <c r="AQ390" s="830">
        <f>AA390</f>
        <v>1006</v>
      </c>
      <c r="AR390" s="830">
        <f>W390*S390</f>
        <v>0</v>
      </c>
      <c r="AS390" s="830">
        <f>W390*T390</f>
        <v>0</v>
      </c>
      <c r="AT390" s="835">
        <f t="shared" si="452"/>
        <v>4745</v>
      </c>
      <c r="AU390" s="835">
        <f t="shared" si="453"/>
        <v>0</v>
      </c>
      <c r="AV390" s="828"/>
      <c r="AW390" s="944">
        <f>AT390+AU390-AV390</f>
        <v>4745</v>
      </c>
    </row>
    <row r="391" spans="2:51" s="196" customFormat="1" ht="63">
      <c r="B391" s="770"/>
      <c r="C391" s="819" t="s">
        <v>1308</v>
      </c>
      <c r="D391" s="820" t="s">
        <v>521</v>
      </c>
      <c r="E391" s="770" t="s">
        <v>511</v>
      </c>
      <c r="F391" s="770">
        <v>6</v>
      </c>
      <c r="G391" s="821">
        <v>4195</v>
      </c>
      <c r="H391" s="821"/>
      <c r="I391" s="821"/>
      <c r="J391" s="821"/>
      <c r="K391" s="821"/>
      <c r="L391" s="821"/>
      <c r="M391" s="821"/>
      <c r="N391" s="821"/>
      <c r="O391" s="821"/>
      <c r="P391" s="821"/>
      <c r="Q391" s="821"/>
      <c r="R391" s="821">
        <f>G391+I391+K391+L391+N391+P391+Q391</f>
        <v>4195</v>
      </c>
      <c r="S391" s="821">
        <v>0.5</v>
      </c>
      <c r="T391" s="821"/>
      <c r="U391" s="821"/>
      <c r="V391" s="821"/>
      <c r="W391" s="821"/>
      <c r="X391" s="831"/>
      <c r="Y391" s="824">
        <v>0</v>
      </c>
      <c r="Z391" s="821">
        <f>R391*Y391</f>
        <v>0</v>
      </c>
      <c r="AA391" s="821">
        <f>AH391</f>
        <v>3350</v>
      </c>
      <c r="AB391" s="821">
        <f>(R391+Z391)*T391+AA391</f>
        <v>3350</v>
      </c>
      <c r="AC391" s="825">
        <f>AF391</f>
        <v>3400</v>
      </c>
      <c r="AD391" s="825">
        <f>AB391+AC391</f>
        <v>6750</v>
      </c>
      <c r="AE391" s="826">
        <f>13500*S391</f>
        <v>6750</v>
      </c>
      <c r="AF391" s="826">
        <f>AE391-AB391</f>
        <v>3400</v>
      </c>
      <c r="AG391" s="827">
        <f>6700*S391</f>
        <v>3350</v>
      </c>
      <c r="AH391" s="826">
        <f>AG391-(R391*T391)-(Z391*T391)</f>
        <v>3350</v>
      </c>
      <c r="AI391" s="828">
        <f>G391*S391</f>
        <v>2097.5</v>
      </c>
      <c r="AJ391" s="828">
        <f>G391*T391</f>
        <v>0</v>
      </c>
      <c r="AK391" s="828">
        <f>R391*S391</f>
        <v>2097.5</v>
      </c>
      <c r="AL391" s="828">
        <f>R391*T391</f>
        <v>0</v>
      </c>
      <c r="AM391" s="828">
        <f t="shared" si="510"/>
        <v>0</v>
      </c>
      <c r="AN391" s="828">
        <f t="shared" si="510"/>
        <v>0</v>
      </c>
      <c r="AO391" s="830">
        <f>Z391*S391</f>
        <v>0</v>
      </c>
      <c r="AP391" s="830">
        <f>Z391*T391</f>
        <v>0</v>
      </c>
      <c r="AQ391" s="830">
        <f>AA391</f>
        <v>3350</v>
      </c>
      <c r="AR391" s="830">
        <f>W391*S391</f>
        <v>0</v>
      </c>
      <c r="AS391" s="830">
        <f>W391*T391</f>
        <v>0</v>
      </c>
      <c r="AT391" s="835">
        <f t="shared" si="452"/>
        <v>2097.5</v>
      </c>
      <c r="AU391" s="835">
        <f t="shared" si="453"/>
        <v>0</v>
      </c>
      <c r="AV391" s="828"/>
      <c r="AW391" s="944">
        <f>AT391+AU391-AV391</f>
        <v>2097.5</v>
      </c>
    </row>
    <row r="392" spans="2:51" s="796" customFormat="1" ht="33">
      <c r="B392" s="810"/>
      <c r="C392" s="799" t="s">
        <v>504</v>
      </c>
      <c r="D392" s="877"/>
      <c r="E392" s="812"/>
      <c r="F392" s="812"/>
      <c r="G392" s="802">
        <f>SUM(G390:G391)</f>
        <v>8940</v>
      </c>
      <c r="H392" s="802"/>
      <c r="I392" s="802">
        <f>SUM(I390:I391)</f>
        <v>0</v>
      </c>
      <c r="J392" s="812"/>
      <c r="K392" s="812"/>
      <c r="L392" s="812"/>
      <c r="M392" s="812"/>
      <c r="N392" s="802">
        <f>SUM(N390:N391)</f>
        <v>0</v>
      </c>
      <c r="O392" s="812"/>
      <c r="P392" s="812"/>
      <c r="Q392" s="812"/>
      <c r="R392" s="802">
        <f>SUM(R390:R391)</f>
        <v>8940</v>
      </c>
      <c r="S392" s="802">
        <f>SUM(S390:S391)</f>
        <v>1.5</v>
      </c>
      <c r="T392" s="802">
        <f>SUM(T390:T391)</f>
        <v>0</v>
      </c>
      <c r="U392" s="802"/>
      <c r="V392" s="802"/>
      <c r="W392" s="802"/>
      <c r="X392" s="802"/>
      <c r="Y392" s="802"/>
      <c r="Z392" s="802">
        <f t="shared" ref="Z392:AW392" si="511">SUM(Z390:Z391)</f>
        <v>949</v>
      </c>
      <c r="AA392" s="802">
        <f t="shared" si="511"/>
        <v>4356</v>
      </c>
      <c r="AB392" s="802">
        <f t="shared" si="511"/>
        <v>10050</v>
      </c>
      <c r="AC392" s="802">
        <f t="shared" si="511"/>
        <v>10200</v>
      </c>
      <c r="AD392" s="802">
        <f t="shared" si="511"/>
        <v>20250</v>
      </c>
      <c r="AE392" s="802">
        <f t="shared" si="511"/>
        <v>20250</v>
      </c>
      <c r="AF392" s="802">
        <f t="shared" si="511"/>
        <v>10200</v>
      </c>
      <c r="AG392" s="802">
        <f t="shared" si="511"/>
        <v>10050</v>
      </c>
      <c r="AH392" s="802">
        <f t="shared" si="511"/>
        <v>4356</v>
      </c>
      <c r="AI392" s="802">
        <f t="shared" si="511"/>
        <v>6842.5</v>
      </c>
      <c r="AJ392" s="802">
        <f t="shared" si="511"/>
        <v>0</v>
      </c>
      <c r="AK392" s="802">
        <f t="shared" si="511"/>
        <v>6842.5</v>
      </c>
      <c r="AL392" s="802">
        <f t="shared" si="511"/>
        <v>0</v>
      </c>
      <c r="AM392" s="802">
        <f t="shared" si="511"/>
        <v>0</v>
      </c>
      <c r="AN392" s="802">
        <f t="shared" si="511"/>
        <v>0</v>
      </c>
      <c r="AO392" s="802">
        <f t="shared" si="511"/>
        <v>949</v>
      </c>
      <c r="AP392" s="802">
        <f t="shared" si="511"/>
        <v>0</v>
      </c>
      <c r="AQ392" s="802">
        <f t="shared" si="511"/>
        <v>4356</v>
      </c>
      <c r="AR392" s="802">
        <f t="shared" si="511"/>
        <v>0</v>
      </c>
      <c r="AS392" s="802">
        <f t="shared" si="511"/>
        <v>0</v>
      </c>
      <c r="AT392" s="802">
        <f t="shared" si="511"/>
        <v>6842.5</v>
      </c>
      <c r="AU392" s="802">
        <f t="shared" si="511"/>
        <v>0</v>
      </c>
      <c r="AV392" s="802">
        <f t="shared" si="511"/>
        <v>0</v>
      </c>
      <c r="AW392" s="802">
        <f t="shared" si="511"/>
        <v>6842.5</v>
      </c>
    </row>
    <row r="393" spans="2:51" s="796" customFormat="1" ht="33">
      <c r="B393" s="799"/>
      <c r="C393" s="799"/>
      <c r="D393" s="807"/>
      <c r="E393" s="799"/>
      <c r="F393" s="799"/>
      <c r="G393" s="800">
        <f>G18+G27+G32+G40+G84+G119+G149+G169+G191+G213+G231+G274+G304+G326+G330+G349+G360+G378+G388+G392</f>
        <v>1256179.5687500001</v>
      </c>
      <c r="H393" s="800"/>
      <c r="I393" s="800">
        <f>I18+I27+I32+I40+I84+I119+I149+I169+I191+I213+I231+I274+I304+I326+I330+I349+I360+I378+I388+I392</f>
        <v>12839.140000000001</v>
      </c>
      <c r="J393" s="800"/>
      <c r="K393" s="800">
        <f>K18+K27+K32+K40+K84+K119+K149+K169+K191+K213+K231+K274+K304+K326+K330+K349+K360+K378+K388+K392</f>
        <v>26090.28</v>
      </c>
      <c r="L393" s="800"/>
      <c r="M393" s="800"/>
      <c r="N393" s="800">
        <f>N18+N27+N32+N40+N84+N119+N149+N169+N191+N213+N231+N274+N304+N326+N330+N349+N360+N378+N388+N392</f>
        <v>11225.4659625</v>
      </c>
      <c r="O393" s="800"/>
      <c r="P393" s="800">
        <f>P18+P27+P32+P40+P84+P119+P149+P169+P191+P213+P231+P274+P304+P326+P330+P349+P360+P378+P388+P392</f>
        <v>42239.834999999999</v>
      </c>
      <c r="Q393" s="800"/>
      <c r="R393" s="800">
        <f>R18+R27+R32+R40+R84+R119+R149+R169+R191+R213+R231+R274+R304+R326+R330+R349+R360+R378+R388+R392</f>
        <v>1369075.7787124999</v>
      </c>
      <c r="S393" s="801">
        <f>S18+S27+S32+S40+S84+S119+S149+S169+S191+S213+S231+S274+S304+S326+S330+S349+S360+S378+S388+S392</f>
        <v>233.25</v>
      </c>
      <c r="T393" s="801">
        <f>T18+T27+T32+T40+T84+T119+T149+T169+T191+T213+T231+T274+T304+T326+T330+T349+T360+T378+T388+T392</f>
        <v>8</v>
      </c>
      <c r="U393" s="800"/>
      <c r="V393" s="800"/>
      <c r="W393" s="800">
        <f>W18+W27+W32+W40+W84+W119+W149+W169+W191+W213+W231+W274+W304+W326+W330+W349+W360+W378+W388+W392</f>
        <v>15296.3</v>
      </c>
      <c r="X393" s="800"/>
      <c r="Y393" s="800"/>
      <c r="Z393" s="800">
        <f>Z18+Z27+Z32+Z40+Z84+Z119+Z149+Z169+Z191+Z213+Z231+Z274+Z304+Z326+Z330+Z349+Z360+Z378+Z388+Z392</f>
        <v>217340.59575874999</v>
      </c>
      <c r="AA393" s="800">
        <f>AA18+AA27+AA32+AA40+AA84+AA119+AA149+AA169+AA191+AA213+AA231+AA274+AA304+AA326+AA330+AA349+AA360+AA378+AA388+AA392</f>
        <v>305380.78124999994</v>
      </c>
      <c r="AB393" s="800">
        <f>AB18+AB27+AB32+AB40+AB84+AB119+AB149+AB169+AB191+AB213+AB231+AB274+AB304+AB326+AB330+AB349+AB360+AB378+AB388+AB392</f>
        <v>1820305.44822125</v>
      </c>
      <c r="AC393" s="800">
        <f t="shared" ref="AC393:AW393" si="512">AC18+AC27+AC32+AC40+AC84+AC119+AC149+AC169+AC191+AC213+AC231+AC274+AC304+AC326+AC330+AC349+AC360+AC378+AC388+AC392</f>
        <v>1178334.4659937499</v>
      </c>
      <c r="AD393" s="800">
        <f t="shared" si="512"/>
        <v>2998639.9142149999</v>
      </c>
      <c r="AE393" s="800">
        <f t="shared" si="512"/>
        <v>2998639.9142149999</v>
      </c>
      <c r="AF393" s="800">
        <f t="shared" si="512"/>
        <v>1178334.4659937499</v>
      </c>
      <c r="AG393" s="800">
        <f t="shared" si="512"/>
        <v>1616375</v>
      </c>
      <c r="AH393" s="800">
        <f t="shared" si="512"/>
        <v>406628.337</v>
      </c>
      <c r="AI393" s="800">
        <f t="shared" si="512"/>
        <v>1135370.3187500001</v>
      </c>
      <c r="AJ393" s="800">
        <f t="shared" si="512"/>
        <v>43611</v>
      </c>
      <c r="AK393" s="800">
        <f t="shared" si="512"/>
        <v>1233112.0787124999</v>
      </c>
      <c r="AL393" s="800">
        <f t="shared" si="512"/>
        <v>49488.800000000003</v>
      </c>
      <c r="AM393" s="800">
        <f t="shared" si="512"/>
        <v>97741.7599625</v>
      </c>
      <c r="AN393" s="800">
        <f t="shared" si="512"/>
        <v>5877.8000000000011</v>
      </c>
      <c r="AO393" s="800">
        <f t="shared" si="512"/>
        <v>213698.13700874997</v>
      </c>
      <c r="AP393" s="800">
        <f t="shared" si="512"/>
        <v>5322.6512499999999</v>
      </c>
      <c r="AQ393" s="800">
        <f t="shared" si="512"/>
        <v>305380.78124999994</v>
      </c>
      <c r="AR393" s="800">
        <f t="shared" si="512"/>
        <v>16453.5</v>
      </c>
      <c r="AS393" s="800">
        <f t="shared" si="512"/>
        <v>0</v>
      </c>
      <c r="AT393" s="800">
        <f t="shared" si="512"/>
        <v>1233112.0787124999</v>
      </c>
      <c r="AU393" s="800">
        <f t="shared" si="512"/>
        <v>49488.800000000003</v>
      </c>
      <c r="AV393" s="800">
        <f t="shared" si="512"/>
        <v>0</v>
      </c>
      <c r="AW393" s="800">
        <f t="shared" si="512"/>
        <v>1282600.8787125</v>
      </c>
    </row>
    <row r="394" spans="2:51" s="198" customFormat="1" ht="30.75">
      <c r="B394" s="799"/>
      <c r="C394" s="799"/>
      <c r="D394" s="807"/>
      <c r="E394" s="799"/>
      <c r="F394" s="799"/>
      <c r="G394" s="799"/>
      <c r="H394" s="799"/>
      <c r="I394" s="799"/>
      <c r="J394" s="799"/>
      <c r="K394" s="799"/>
      <c r="L394" s="799"/>
      <c r="M394" s="799"/>
      <c r="N394" s="799"/>
      <c r="O394" s="799"/>
      <c r="P394" s="799"/>
      <c r="Q394" s="799"/>
      <c r="R394" s="799"/>
      <c r="S394" s="799"/>
      <c r="T394" s="799"/>
      <c r="U394" s="799"/>
      <c r="V394" s="799"/>
      <c r="W394" s="799"/>
      <c r="X394" s="799"/>
      <c r="Y394" s="799"/>
      <c r="Z394" s="799"/>
      <c r="AA394" s="799"/>
      <c r="AB394" s="799"/>
      <c r="AC394" s="795"/>
      <c r="AD394" s="795"/>
      <c r="AE394" s="795"/>
      <c r="AF394" s="795"/>
      <c r="AG394" s="795"/>
      <c r="AH394" s="795"/>
      <c r="AI394" s="795"/>
      <c r="AJ394" s="795"/>
      <c r="AK394" s="795"/>
      <c r="AL394" s="795"/>
      <c r="AM394" s="795"/>
      <c r="AN394" s="795"/>
      <c r="AO394" s="795"/>
      <c r="AP394" s="795"/>
      <c r="AQ394" s="795"/>
      <c r="AR394" s="795"/>
      <c r="AS394" s="795"/>
      <c r="AT394" s="795"/>
      <c r="AU394" s="795"/>
      <c r="AV394" s="795"/>
      <c r="AW394" s="795"/>
    </row>
    <row r="395" spans="2:51" s="906" customFormat="1" ht="26.25">
      <c r="B395" s="903"/>
      <c r="C395" s="903" t="str">
        <f>C9</f>
        <v>АДМІНІСТРАЦІЯ</v>
      </c>
      <c r="D395" s="903"/>
      <c r="E395" s="903"/>
      <c r="F395" s="903"/>
      <c r="G395" s="903"/>
      <c r="H395" s="903"/>
      <c r="I395" s="903"/>
      <c r="J395" s="903"/>
      <c r="K395" s="903"/>
      <c r="L395" s="903"/>
      <c r="M395" s="903"/>
      <c r="N395" s="903"/>
      <c r="O395" s="903"/>
      <c r="P395" s="903"/>
      <c r="Q395" s="903"/>
      <c r="R395" s="903"/>
      <c r="S395" s="904">
        <f>S18</f>
        <v>6</v>
      </c>
      <c r="T395" s="904">
        <f>T18</f>
        <v>0</v>
      </c>
      <c r="U395" s="904"/>
      <c r="V395" s="904"/>
      <c r="W395" s="904"/>
      <c r="X395" s="904"/>
      <c r="Y395" s="904"/>
      <c r="Z395" s="904"/>
      <c r="AA395" s="904"/>
      <c r="AB395" s="905">
        <f>AB18</f>
        <v>82890.884596250005</v>
      </c>
      <c r="AC395" s="905">
        <f t="shared" ref="AC395:AW395" si="513">AC18</f>
        <v>10952.459243749996</v>
      </c>
      <c r="AD395" s="905">
        <f t="shared" si="513"/>
        <v>93843.343840000001</v>
      </c>
      <c r="AE395" s="905">
        <f t="shared" si="513"/>
        <v>93843.343840000001</v>
      </c>
      <c r="AF395" s="905">
        <f t="shared" si="513"/>
        <v>10952.459243749996</v>
      </c>
      <c r="AG395" s="905">
        <f t="shared" si="513"/>
        <v>40200</v>
      </c>
      <c r="AH395" s="905">
        <f t="shared" si="513"/>
        <v>2505</v>
      </c>
      <c r="AI395" s="905">
        <f t="shared" si="513"/>
        <v>54184.076249999998</v>
      </c>
      <c r="AJ395" s="905">
        <f t="shared" si="513"/>
        <v>0</v>
      </c>
      <c r="AK395" s="905">
        <f t="shared" si="513"/>
        <v>66982.563337500003</v>
      </c>
      <c r="AL395" s="905">
        <f t="shared" si="513"/>
        <v>0</v>
      </c>
      <c r="AM395" s="905">
        <f t="shared" si="513"/>
        <v>12798.487087500002</v>
      </c>
      <c r="AN395" s="905">
        <f t="shared" si="513"/>
        <v>0</v>
      </c>
      <c r="AO395" s="905">
        <f t="shared" si="513"/>
        <v>13403.321258750002</v>
      </c>
      <c r="AP395" s="905">
        <f t="shared" si="513"/>
        <v>0</v>
      </c>
      <c r="AQ395" s="905">
        <f t="shared" si="513"/>
        <v>2505</v>
      </c>
      <c r="AR395" s="905">
        <f t="shared" si="513"/>
        <v>0</v>
      </c>
      <c r="AS395" s="905">
        <f t="shared" si="513"/>
        <v>0</v>
      </c>
      <c r="AT395" s="905">
        <f t="shared" si="513"/>
        <v>66982.563337500003</v>
      </c>
      <c r="AU395" s="905">
        <f t="shared" si="513"/>
        <v>0</v>
      </c>
      <c r="AV395" s="905">
        <f t="shared" si="513"/>
        <v>0</v>
      </c>
      <c r="AW395" s="905">
        <f t="shared" si="513"/>
        <v>66982.563337500003</v>
      </c>
    </row>
    <row r="396" spans="2:51" s="906" customFormat="1" ht="26.25">
      <c r="B396" s="903"/>
      <c r="C396" s="903" t="str">
        <f>C19</f>
        <v>БУХГАЛТЕРСЬКИЙ ВІДДІЛ</v>
      </c>
      <c r="D396" s="903"/>
      <c r="E396" s="903"/>
      <c r="F396" s="903"/>
      <c r="G396" s="903"/>
      <c r="H396" s="903"/>
      <c r="I396" s="903"/>
      <c r="J396" s="903"/>
      <c r="K396" s="903"/>
      <c r="L396" s="903"/>
      <c r="M396" s="903"/>
      <c r="N396" s="903"/>
      <c r="O396" s="903"/>
      <c r="P396" s="903"/>
      <c r="Q396" s="903"/>
      <c r="R396" s="903"/>
      <c r="S396" s="904">
        <f>S27</f>
        <v>5</v>
      </c>
      <c r="T396" s="904">
        <f>T27</f>
        <v>1</v>
      </c>
      <c r="U396" s="904"/>
      <c r="V396" s="904"/>
      <c r="W396" s="904"/>
      <c r="X396" s="904"/>
      <c r="Y396" s="904"/>
      <c r="Z396" s="904"/>
      <c r="AA396" s="904"/>
      <c r="AB396" s="905">
        <f>AB27</f>
        <v>50893.070375000003</v>
      </c>
      <c r="AC396" s="905">
        <f t="shared" ref="AC396:AW396" si="514">AC27</f>
        <v>0</v>
      </c>
      <c r="AD396" s="905">
        <f t="shared" si="514"/>
        <v>50893.070375000003</v>
      </c>
      <c r="AE396" s="905">
        <f t="shared" si="514"/>
        <v>50893.070375000003</v>
      </c>
      <c r="AF396" s="905">
        <f t="shared" si="514"/>
        <v>0</v>
      </c>
      <c r="AG396" s="905">
        <f t="shared" si="514"/>
        <v>40200</v>
      </c>
      <c r="AH396" s="905">
        <f t="shared" si="514"/>
        <v>9066</v>
      </c>
      <c r="AI396" s="905">
        <f t="shared" si="514"/>
        <v>33824.4925</v>
      </c>
      <c r="AJ396" s="905">
        <f t="shared" si="514"/>
        <v>4860</v>
      </c>
      <c r="AK396" s="905">
        <f t="shared" si="514"/>
        <v>36967.070375000003</v>
      </c>
      <c r="AL396" s="905">
        <f t="shared" si="514"/>
        <v>4860</v>
      </c>
      <c r="AM396" s="905">
        <f t="shared" si="514"/>
        <v>3142.5778750000009</v>
      </c>
      <c r="AN396" s="905">
        <f t="shared" si="514"/>
        <v>0</v>
      </c>
      <c r="AO396" s="905">
        <f t="shared" si="514"/>
        <v>0</v>
      </c>
      <c r="AP396" s="905">
        <f t="shared" si="514"/>
        <v>0</v>
      </c>
      <c r="AQ396" s="905">
        <f t="shared" si="514"/>
        <v>9066</v>
      </c>
      <c r="AR396" s="905">
        <f t="shared" si="514"/>
        <v>0</v>
      </c>
      <c r="AS396" s="905">
        <f t="shared" si="514"/>
        <v>0</v>
      </c>
      <c r="AT396" s="905">
        <f t="shared" si="514"/>
        <v>36967.070375000003</v>
      </c>
      <c r="AU396" s="905">
        <f t="shared" si="514"/>
        <v>4860</v>
      </c>
      <c r="AV396" s="905">
        <f t="shared" si="514"/>
        <v>0</v>
      </c>
      <c r="AW396" s="905">
        <f t="shared" si="514"/>
        <v>41827.070375000003</v>
      </c>
    </row>
    <row r="397" spans="2:51" s="906" customFormat="1" ht="26.25">
      <c r="B397" s="903"/>
      <c r="C397" s="903" t="str">
        <f>C28</f>
        <v>ІНФОРМАЦІЙНО - АНАЛІТИЧНИЙ ВІДДІЛ</v>
      </c>
      <c r="D397" s="903"/>
      <c r="E397" s="903"/>
      <c r="F397" s="903"/>
      <c r="G397" s="903"/>
      <c r="H397" s="903"/>
      <c r="I397" s="903"/>
      <c r="J397" s="903"/>
      <c r="K397" s="903"/>
      <c r="L397" s="903"/>
      <c r="M397" s="903"/>
      <c r="N397" s="903"/>
      <c r="O397" s="903"/>
      <c r="P397" s="903"/>
      <c r="Q397" s="903"/>
      <c r="R397" s="903"/>
      <c r="S397" s="904">
        <f>S32</f>
        <v>2.5</v>
      </c>
      <c r="T397" s="904">
        <f>T32</f>
        <v>0</v>
      </c>
      <c r="U397" s="904"/>
      <c r="V397" s="904"/>
      <c r="W397" s="904"/>
      <c r="X397" s="904"/>
      <c r="Y397" s="904"/>
      <c r="Z397" s="904"/>
      <c r="AA397" s="904"/>
      <c r="AB397" s="905">
        <f>AB32</f>
        <v>16750</v>
      </c>
      <c r="AC397" s="905">
        <f t="shared" ref="AC397:AW397" si="515">AC32</f>
        <v>3400</v>
      </c>
      <c r="AD397" s="905">
        <f t="shared" si="515"/>
        <v>20150</v>
      </c>
      <c r="AE397" s="905">
        <f t="shared" si="515"/>
        <v>20150</v>
      </c>
      <c r="AF397" s="905">
        <f t="shared" si="515"/>
        <v>3400</v>
      </c>
      <c r="AG397" s="905">
        <f t="shared" si="515"/>
        <v>16750</v>
      </c>
      <c r="AH397" s="905">
        <f t="shared" si="515"/>
        <v>5514</v>
      </c>
      <c r="AI397" s="905">
        <f t="shared" si="515"/>
        <v>10761.5</v>
      </c>
      <c r="AJ397" s="905">
        <f t="shared" si="515"/>
        <v>0</v>
      </c>
      <c r="AK397" s="905">
        <f t="shared" si="515"/>
        <v>10761.5</v>
      </c>
      <c r="AL397" s="905">
        <f t="shared" si="515"/>
        <v>0</v>
      </c>
      <c r="AM397" s="905">
        <f t="shared" si="515"/>
        <v>0</v>
      </c>
      <c r="AN397" s="905">
        <f t="shared" si="515"/>
        <v>0</v>
      </c>
      <c r="AO397" s="905">
        <f t="shared" si="515"/>
        <v>474.5</v>
      </c>
      <c r="AP397" s="905">
        <f t="shared" si="515"/>
        <v>0</v>
      </c>
      <c r="AQ397" s="905">
        <f t="shared" si="515"/>
        <v>5514</v>
      </c>
      <c r="AR397" s="905">
        <f t="shared" si="515"/>
        <v>0</v>
      </c>
      <c r="AS397" s="905">
        <f t="shared" si="515"/>
        <v>0</v>
      </c>
      <c r="AT397" s="905">
        <f t="shared" si="515"/>
        <v>10761.5</v>
      </c>
      <c r="AU397" s="905">
        <f t="shared" si="515"/>
        <v>0</v>
      </c>
      <c r="AV397" s="905">
        <f t="shared" si="515"/>
        <v>0</v>
      </c>
      <c r="AW397" s="905">
        <f t="shared" si="515"/>
        <v>10761.5</v>
      </c>
    </row>
    <row r="398" spans="2:51" s="906" customFormat="1" ht="26.25">
      <c r="B398" s="903"/>
      <c r="C398" s="903" t="str">
        <f>C33</f>
        <v>ВІДДІЛ ПРАЦІ ТА СОЦІАЛЬНО-ПРАВОВОГО ЗАБЕЗПЕЧЕННЯ</v>
      </c>
      <c r="D398" s="903"/>
      <c r="E398" s="903"/>
      <c r="F398" s="903"/>
      <c r="G398" s="903"/>
      <c r="H398" s="903"/>
      <c r="I398" s="903"/>
      <c r="J398" s="903"/>
      <c r="K398" s="903"/>
      <c r="L398" s="903"/>
      <c r="M398" s="903"/>
      <c r="N398" s="903"/>
      <c r="O398" s="903"/>
      <c r="P398" s="903"/>
      <c r="Q398" s="903"/>
      <c r="R398" s="903"/>
      <c r="S398" s="904">
        <f>S40</f>
        <v>4.5</v>
      </c>
      <c r="T398" s="904">
        <f>T40</f>
        <v>0.5</v>
      </c>
      <c r="U398" s="904"/>
      <c r="V398" s="904"/>
      <c r="W398" s="904"/>
      <c r="X398" s="904"/>
      <c r="Y398" s="904"/>
      <c r="Z398" s="904"/>
      <c r="AA398" s="904"/>
      <c r="AB398" s="905">
        <f>AB40</f>
        <v>33500</v>
      </c>
      <c r="AC398" s="905">
        <f t="shared" ref="AC398:AW398" si="516">AC40</f>
        <v>0</v>
      </c>
      <c r="AD398" s="905">
        <f t="shared" si="516"/>
        <v>33500</v>
      </c>
      <c r="AE398" s="905">
        <f t="shared" si="516"/>
        <v>33500</v>
      </c>
      <c r="AF398" s="905">
        <f t="shared" si="516"/>
        <v>0</v>
      </c>
      <c r="AG398" s="905">
        <f t="shared" si="516"/>
        <v>33500</v>
      </c>
      <c r="AH398" s="905">
        <f t="shared" si="516"/>
        <v>9388</v>
      </c>
      <c r="AI398" s="905">
        <f t="shared" si="516"/>
        <v>21479.5</v>
      </c>
      <c r="AJ398" s="905">
        <f t="shared" si="516"/>
        <v>2632.5</v>
      </c>
      <c r="AK398" s="905">
        <f t="shared" si="516"/>
        <v>21479.5</v>
      </c>
      <c r="AL398" s="905">
        <f t="shared" si="516"/>
        <v>2632.5</v>
      </c>
      <c r="AM398" s="905">
        <f t="shared" si="516"/>
        <v>0</v>
      </c>
      <c r="AN398" s="905">
        <f t="shared" si="516"/>
        <v>0</v>
      </c>
      <c r="AO398" s="905">
        <f t="shared" si="516"/>
        <v>0</v>
      </c>
      <c r="AP398" s="905">
        <f t="shared" si="516"/>
        <v>0</v>
      </c>
      <c r="AQ398" s="905">
        <f t="shared" si="516"/>
        <v>9388</v>
      </c>
      <c r="AR398" s="905">
        <f t="shared" si="516"/>
        <v>0</v>
      </c>
      <c r="AS398" s="905">
        <f t="shared" si="516"/>
        <v>0</v>
      </c>
      <c r="AT398" s="905">
        <f t="shared" si="516"/>
        <v>21479.5</v>
      </c>
      <c r="AU398" s="905">
        <f t="shared" si="516"/>
        <v>2632.5</v>
      </c>
      <c r="AV398" s="905">
        <f t="shared" si="516"/>
        <v>0</v>
      </c>
      <c r="AW398" s="905">
        <f t="shared" si="516"/>
        <v>24112</v>
      </c>
    </row>
    <row r="399" spans="2:51" s="906" customFormat="1" ht="26.25">
      <c r="B399" s="903"/>
      <c r="C399" s="903" t="str">
        <f>C41</f>
        <v>ГОСПОДАРСЬКИЙ ВІДДІЛ</v>
      </c>
      <c r="D399" s="903"/>
      <c r="E399" s="903"/>
      <c r="F399" s="903"/>
      <c r="G399" s="903"/>
      <c r="H399" s="903"/>
      <c r="I399" s="903"/>
      <c r="J399" s="903"/>
      <c r="K399" s="903"/>
      <c r="L399" s="903"/>
      <c r="M399" s="903"/>
      <c r="N399" s="903"/>
      <c r="O399" s="903"/>
      <c r="P399" s="903"/>
      <c r="Q399" s="903"/>
      <c r="R399" s="903"/>
      <c r="S399" s="907">
        <f>S84</f>
        <v>31.5</v>
      </c>
      <c r="T399" s="907">
        <f>T84</f>
        <v>2</v>
      </c>
      <c r="U399" s="907"/>
      <c r="V399" s="907"/>
      <c r="W399" s="907"/>
      <c r="X399" s="907"/>
      <c r="Y399" s="907"/>
      <c r="Z399" s="907"/>
      <c r="AA399" s="907"/>
      <c r="AB399" s="905">
        <f>AB84</f>
        <v>225607.19999999998</v>
      </c>
      <c r="AC399" s="905">
        <f t="shared" ref="AC399:AW399" si="517">AC84</f>
        <v>0</v>
      </c>
      <c r="AD399" s="905">
        <f t="shared" si="517"/>
        <v>225607.19999999998</v>
      </c>
      <c r="AE399" s="905">
        <f t="shared" si="517"/>
        <v>225607.19999999998</v>
      </c>
      <c r="AF399" s="905">
        <f t="shared" si="517"/>
        <v>0</v>
      </c>
      <c r="AG399" s="905">
        <f t="shared" si="517"/>
        <v>224450</v>
      </c>
      <c r="AH399" s="905">
        <f t="shared" si="517"/>
        <v>104175.4</v>
      </c>
      <c r="AI399" s="905">
        <f t="shared" si="517"/>
        <v>109906</v>
      </c>
      <c r="AJ399" s="905">
        <f t="shared" si="517"/>
        <v>7218</v>
      </c>
      <c r="AK399" s="905">
        <f t="shared" si="517"/>
        <v>112006.39999999999</v>
      </c>
      <c r="AL399" s="905">
        <f t="shared" si="517"/>
        <v>8268.2000000000007</v>
      </c>
      <c r="AM399" s="905">
        <f t="shared" si="517"/>
        <v>2100.4000000000005</v>
      </c>
      <c r="AN399" s="905">
        <f t="shared" si="517"/>
        <v>1050.2000000000003</v>
      </c>
      <c r="AO399" s="905">
        <f t="shared" si="517"/>
        <v>0</v>
      </c>
      <c r="AP399" s="905">
        <f t="shared" si="517"/>
        <v>0</v>
      </c>
      <c r="AQ399" s="905">
        <f t="shared" si="517"/>
        <v>104175.4</v>
      </c>
      <c r="AR399" s="905">
        <f t="shared" si="517"/>
        <v>1157.2</v>
      </c>
      <c r="AS399" s="905">
        <f t="shared" si="517"/>
        <v>0</v>
      </c>
      <c r="AT399" s="905">
        <f t="shared" si="517"/>
        <v>112006.39999999999</v>
      </c>
      <c r="AU399" s="905">
        <f t="shared" si="517"/>
        <v>8268.2000000000007</v>
      </c>
      <c r="AV399" s="905">
        <f t="shared" si="517"/>
        <v>0</v>
      </c>
      <c r="AW399" s="905">
        <f t="shared" si="517"/>
        <v>120274.6</v>
      </c>
    </row>
    <row r="400" spans="2:51" s="906" customFormat="1" ht="26.25">
      <c r="B400" s="903"/>
      <c r="C400" s="903" t="str">
        <f>C85</f>
        <v>ПОЛІКЛІНІКА</v>
      </c>
      <c r="D400" s="903"/>
      <c r="E400" s="903"/>
      <c r="F400" s="903"/>
      <c r="G400" s="903"/>
      <c r="H400" s="903"/>
      <c r="I400" s="903"/>
      <c r="J400" s="903"/>
      <c r="K400" s="903"/>
      <c r="L400" s="903"/>
      <c r="M400" s="903"/>
      <c r="N400" s="903"/>
      <c r="O400" s="903"/>
      <c r="P400" s="903"/>
      <c r="Q400" s="903"/>
      <c r="R400" s="903"/>
      <c r="S400" s="904">
        <f>S119</f>
        <v>25.25</v>
      </c>
      <c r="T400" s="904">
        <f>T119</f>
        <v>1</v>
      </c>
      <c r="U400" s="904"/>
      <c r="V400" s="904"/>
      <c r="W400" s="904"/>
      <c r="X400" s="904"/>
      <c r="Y400" s="904"/>
      <c r="Z400" s="904"/>
      <c r="AA400" s="904"/>
      <c r="AB400" s="905">
        <f>AB119</f>
        <v>204529.5975</v>
      </c>
      <c r="AC400" s="905">
        <f t="shared" ref="AC400:AW400" si="518">AC119</f>
        <v>248970.4025</v>
      </c>
      <c r="AD400" s="905">
        <f t="shared" si="518"/>
        <v>453500</v>
      </c>
      <c r="AE400" s="905">
        <f t="shared" si="518"/>
        <v>453500</v>
      </c>
      <c r="AF400" s="905">
        <f t="shared" si="518"/>
        <v>248970.4025</v>
      </c>
      <c r="AG400" s="905">
        <f t="shared" si="518"/>
        <v>175875</v>
      </c>
      <c r="AH400" s="905">
        <f t="shared" si="518"/>
        <v>32439.713750000003</v>
      </c>
      <c r="AI400" s="905">
        <f t="shared" si="518"/>
        <v>142596.25</v>
      </c>
      <c r="AJ400" s="905">
        <f t="shared" si="518"/>
        <v>6350</v>
      </c>
      <c r="AK400" s="905">
        <f t="shared" si="518"/>
        <v>151581.42499999999</v>
      </c>
      <c r="AL400" s="905">
        <f t="shared" si="518"/>
        <v>7630.85</v>
      </c>
      <c r="AM400" s="905">
        <f t="shared" si="518"/>
        <v>8985.1750000000011</v>
      </c>
      <c r="AN400" s="905">
        <f t="shared" si="518"/>
        <v>1280.8499999999999</v>
      </c>
      <c r="AO400" s="905">
        <f t="shared" si="518"/>
        <v>33990.946250000001</v>
      </c>
      <c r="AP400" s="905">
        <f t="shared" si="518"/>
        <v>705.29500000000007</v>
      </c>
      <c r="AQ400" s="905">
        <f t="shared" si="518"/>
        <v>10621.081249999999</v>
      </c>
      <c r="AR400" s="905">
        <f t="shared" si="518"/>
        <v>0</v>
      </c>
      <c r="AS400" s="905">
        <f t="shared" si="518"/>
        <v>0</v>
      </c>
      <c r="AT400" s="905">
        <f t="shared" si="518"/>
        <v>151581.42499999999</v>
      </c>
      <c r="AU400" s="905">
        <f t="shared" si="518"/>
        <v>7630.85</v>
      </c>
      <c r="AV400" s="905">
        <f t="shared" si="518"/>
        <v>0</v>
      </c>
      <c r="AW400" s="905">
        <f t="shared" si="518"/>
        <v>159212.27499999999</v>
      </c>
    </row>
    <row r="401" spans="2:49" s="906" customFormat="1" ht="26.25">
      <c r="B401" s="903"/>
      <c r="C401" s="903" t="str">
        <f>C121</f>
        <v xml:space="preserve">АКУШЕРСЬКО-ГІНЕКОЛОГІЧНЕ ВІДДІЛЕННЯ </v>
      </c>
      <c r="D401" s="903"/>
      <c r="E401" s="903"/>
      <c r="F401" s="903"/>
      <c r="G401" s="903"/>
      <c r="H401" s="903"/>
      <c r="I401" s="903"/>
      <c r="J401" s="903"/>
      <c r="K401" s="903"/>
      <c r="L401" s="903"/>
      <c r="M401" s="903"/>
      <c r="N401" s="903"/>
      <c r="O401" s="903"/>
      <c r="P401" s="903"/>
      <c r="Q401" s="903"/>
      <c r="R401" s="903"/>
      <c r="S401" s="904">
        <f>S149</f>
        <v>19</v>
      </c>
      <c r="T401" s="904">
        <f>T149</f>
        <v>1</v>
      </c>
      <c r="U401" s="904"/>
      <c r="V401" s="904"/>
      <c r="W401" s="904"/>
      <c r="X401" s="904"/>
      <c r="Y401" s="904"/>
      <c r="Z401" s="904"/>
      <c r="AA401" s="904"/>
      <c r="AB401" s="905">
        <f>AB149</f>
        <v>153489.63400000002</v>
      </c>
      <c r="AC401" s="905">
        <f t="shared" ref="AC401:AW401" si="519">AC149</f>
        <v>116717.36599999999</v>
      </c>
      <c r="AD401" s="905">
        <f t="shared" si="519"/>
        <v>270207</v>
      </c>
      <c r="AE401" s="905">
        <f t="shared" si="519"/>
        <v>270207</v>
      </c>
      <c r="AF401" s="905">
        <f t="shared" si="519"/>
        <v>116717.36599999999</v>
      </c>
      <c r="AG401" s="905">
        <f t="shared" si="519"/>
        <v>134000</v>
      </c>
      <c r="AH401" s="905">
        <f t="shared" si="519"/>
        <v>33919.684000000001</v>
      </c>
      <c r="AI401" s="905">
        <f t="shared" si="519"/>
        <v>94050</v>
      </c>
      <c r="AJ401" s="905">
        <f t="shared" si="519"/>
        <v>6567</v>
      </c>
      <c r="AK401" s="905">
        <f t="shared" si="519"/>
        <v>103016.98000000001</v>
      </c>
      <c r="AL401" s="905">
        <f t="shared" si="519"/>
        <v>7552.05</v>
      </c>
      <c r="AM401" s="905">
        <f t="shared" si="519"/>
        <v>8966.9800000000014</v>
      </c>
      <c r="AN401" s="905">
        <f t="shared" si="519"/>
        <v>985.05000000000018</v>
      </c>
      <c r="AO401" s="905">
        <f t="shared" si="519"/>
        <v>21919.194</v>
      </c>
      <c r="AP401" s="905">
        <f t="shared" si="519"/>
        <v>1510.4099999999999</v>
      </c>
      <c r="AQ401" s="905">
        <f t="shared" si="519"/>
        <v>17784</v>
      </c>
      <c r="AR401" s="905">
        <f t="shared" si="519"/>
        <v>1707.0000000000002</v>
      </c>
      <c r="AS401" s="905">
        <f t="shared" si="519"/>
        <v>0</v>
      </c>
      <c r="AT401" s="905">
        <f t="shared" si="519"/>
        <v>103016.98000000001</v>
      </c>
      <c r="AU401" s="905">
        <f t="shared" si="519"/>
        <v>7552.05</v>
      </c>
      <c r="AV401" s="905">
        <f t="shared" si="519"/>
        <v>0</v>
      </c>
      <c r="AW401" s="905">
        <f t="shared" si="519"/>
        <v>110569.03</v>
      </c>
    </row>
    <row r="402" spans="2:49" s="906" customFormat="1" ht="26.25">
      <c r="B402" s="903"/>
      <c r="C402" s="903" t="str">
        <f>C150</f>
        <v>ІНФЕКЦІЙНЕ ВІДДІЛЕННЯ</v>
      </c>
      <c r="D402" s="903"/>
      <c r="E402" s="903"/>
      <c r="F402" s="903"/>
      <c r="G402" s="903"/>
      <c r="H402" s="903"/>
      <c r="I402" s="903"/>
      <c r="J402" s="903"/>
      <c r="K402" s="903"/>
      <c r="L402" s="903"/>
      <c r="M402" s="903"/>
      <c r="N402" s="903"/>
      <c r="O402" s="903"/>
      <c r="P402" s="903"/>
      <c r="Q402" s="903"/>
      <c r="R402" s="903"/>
      <c r="S402" s="904">
        <f>S169</f>
        <v>12</v>
      </c>
      <c r="T402" s="904">
        <f>T169</f>
        <v>0</v>
      </c>
      <c r="U402" s="904"/>
      <c r="V402" s="904"/>
      <c r="W402" s="904"/>
      <c r="X402" s="904"/>
      <c r="Y402" s="904"/>
      <c r="Z402" s="904"/>
      <c r="AA402" s="904"/>
      <c r="AB402" s="905">
        <f>AB169</f>
        <v>88610.615000000005</v>
      </c>
      <c r="AC402" s="905">
        <f t="shared" ref="AC402:AW402" si="520">AC169</f>
        <v>47852.434999999998</v>
      </c>
      <c r="AD402" s="905">
        <f t="shared" si="520"/>
        <v>136463.04999999999</v>
      </c>
      <c r="AE402" s="905">
        <f t="shared" si="520"/>
        <v>136463.04999999999</v>
      </c>
      <c r="AF402" s="905">
        <f t="shared" si="520"/>
        <v>47852.434999999998</v>
      </c>
      <c r="AG402" s="905">
        <f t="shared" si="520"/>
        <v>80400</v>
      </c>
      <c r="AH402" s="905">
        <f t="shared" si="520"/>
        <v>18049.965</v>
      </c>
      <c r="AI402" s="905">
        <f t="shared" si="520"/>
        <v>52597</v>
      </c>
      <c r="AJ402" s="905">
        <f t="shared" si="520"/>
        <v>0</v>
      </c>
      <c r="AK402" s="905">
        <f t="shared" si="520"/>
        <v>60486.55</v>
      </c>
      <c r="AL402" s="905">
        <f t="shared" si="520"/>
        <v>0</v>
      </c>
      <c r="AM402" s="905">
        <f t="shared" si="520"/>
        <v>7889.5499999999993</v>
      </c>
      <c r="AN402" s="905">
        <f t="shared" si="520"/>
        <v>0</v>
      </c>
      <c r="AO402" s="905">
        <f t="shared" si="520"/>
        <v>11228.715</v>
      </c>
      <c r="AP402" s="905">
        <f t="shared" si="520"/>
        <v>0</v>
      </c>
      <c r="AQ402" s="905">
        <f t="shared" si="520"/>
        <v>14932.3</v>
      </c>
      <c r="AR402" s="905">
        <f t="shared" si="520"/>
        <v>1963.0500000000002</v>
      </c>
      <c r="AS402" s="905">
        <f t="shared" si="520"/>
        <v>0</v>
      </c>
      <c r="AT402" s="905">
        <f t="shared" si="520"/>
        <v>60486.55</v>
      </c>
      <c r="AU402" s="905">
        <f t="shared" si="520"/>
        <v>0</v>
      </c>
      <c r="AV402" s="905">
        <f t="shared" si="520"/>
        <v>0</v>
      </c>
      <c r="AW402" s="905">
        <f t="shared" si="520"/>
        <v>60486.55</v>
      </c>
    </row>
    <row r="403" spans="2:49" s="906" customFormat="1" ht="26.25">
      <c r="B403" s="903"/>
      <c r="C403" s="903" t="str">
        <f>C170</f>
        <v xml:space="preserve">НЕВРОЛОГІЧНЕ ВІДДІЛЕННЯ </v>
      </c>
      <c r="D403" s="903"/>
      <c r="E403" s="903"/>
      <c r="F403" s="903"/>
      <c r="G403" s="903"/>
      <c r="H403" s="903"/>
      <c r="I403" s="903"/>
      <c r="J403" s="903"/>
      <c r="K403" s="903"/>
      <c r="L403" s="903"/>
      <c r="M403" s="903"/>
      <c r="N403" s="903"/>
      <c r="O403" s="903"/>
      <c r="P403" s="903"/>
      <c r="Q403" s="903"/>
      <c r="R403" s="903"/>
      <c r="S403" s="904">
        <f>S191</f>
        <v>14</v>
      </c>
      <c r="T403" s="904">
        <f>T191</f>
        <v>0</v>
      </c>
      <c r="U403" s="904"/>
      <c r="V403" s="904"/>
      <c r="W403" s="904"/>
      <c r="X403" s="904"/>
      <c r="Y403" s="904"/>
      <c r="Z403" s="904"/>
      <c r="AA403" s="904"/>
      <c r="AB403" s="905">
        <f>AB191</f>
        <v>100034.91</v>
      </c>
      <c r="AC403" s="905">
        <f t="shared" ref="AC403:AW403" si="521">AC191</f>
        <v>69672.09</v>
      </c>
      <c r="AD403" s="905">
        <f t="shared" si="521"/>
        <v>169707</v>
      </c>
      <c r="AE403" s="905">
        <f t="shared" si="521"/>
        <v>169707</v>
      </c>
      <c r="AF403" s="905">
        <f t="shared" si="521"/>
        <v>69672.09</v>
      </c>
      <c r="AG403" s="905">
        <f t="shared" si="521"/>
        <v>93800</v>
      </c>
      <c r="AH403" s="905">
        <f t="shared" si="521"/>
        <v>24369.010000000002</v>
      </c>
      <c r="AI403" s="905">
        <f t="shared" si="521"/>
        <v>64719</v>
      </c>
      <c r="AJ403" s="905">
        <f t="shared" si="521"/>
        <v>0</v>
      </c>
      <c r="AK403" s="905">
        <f t="shared" si="521"/>
        <v>65850.2</v>
      </c>
      <c r="AL403" s="905">
        <f t="shared" si="521"/>
        <v>0</v>
      </c>
      <c r="AM403" s="905">
        <f t="shared" si="521"/>
        <v>1131.1999999999998</v>
      </c>
      <c r="AN403" s="905">
        <f t="shared" si="521"/>
        <v>0</v>
      </c>
      <c r="AO403" s="905">
        <f t="shared" si="521"/>
        <v>12636.609999999999</v>
      </c>
      <c r="AP403" s="905">
        <f t="shared" si="521"/>
        <v>0</v>
      </c>
      <c r="AQ403" s="905">
        <f t="shared" si="521"/>
        <v>19841.099999999999</v>
      </c>
      <c r="AR403" s="905">
        <f t="shared" si="521"/>
        <v>1707.0000000000002</v>
      </c>
      <c r="AS403" s="905">
        <f t="shared" si="521"/>
        <v>0</v>
      </c>
      <c r="AT403" s="905">
        <f t="shared" si="521"/>
        <v>65850.2</v>
      </c>
      <c r="AU403" s="905">
        <f t="shared" si="521"/>
        <v>0</v>
      </c>
      <c r="AV403" s="905">
        <f t="shared" si="521"/>
        <v>0</v>
      </c>
      <c r="AW403" s="905">
        <f t="shared" si="521"/>
        <v>65850.2</v>
      </c>
    </row>
    <row r="404" spans="2:49" s="906" customFormat="1" ht="26.25">
      <c r="B404" s="903"/>
      <c r="C404" s="903" t="str">
        <f>C192</f>
        <v xml:space="preserve">ТЕРАПЕВТИЧНЕ ВІДДІЛЕННЯ </v>
      </c>
      <c r="D404" s="903"/>
      <c r="E404" s="903"/>
      <c r="F404" s="903"/>
      <c r="G404" s="903"/>
      <c r="H404" s="903"/>
      <c r="I404" s="903"/>
      <c r="J404" s="903"/>
      <c r="K404" s="903"/>
      <c r="L404" s="903"/>
      <c r="M404" s="903"/>
      <c r="N404" s="903"/>
      <c r="O404" s="903"/>
      <c r="P404" s="903"/>
      <c r="Q404" s="903"/>
      <c r="R404" s="903"/>
      <c r="S404" s="904">
        <f>S213</f>
        <v>14</v>
      </c>
      <c r="T404" s="904">
        <f>T213</f>
        <v>0</v>
      </c>
      <c r="U404" s="904"/>
      <c r="V404" s="904"/>
      <c r="W404" s="904"/>
      <c r="X404" s="904"/>
      <c r="Y404" s="904"/>
      <c r="Z404" s="904"/>
      <c r="AA404" s="904"/>
      <c r="AB404" s="905">
        <f>AB213</f>
        <v>99927.86</v>
      </c>
      <c r="AC404" s="905">
        <f t="shared" ref="AC404:AW404" si="522">AC213</f>
        <v>69779.14</v>
      </c>
      <c r="AD404" s="905">
        <f t="shared" si="522"/>
        <v>169707</v>
      </c>
      <c r="AE404" s="905">
        <f t="shared" si="522"/>
        <v>169707</v>
      </c>
      <c r="AF404" s="905">
        <f t="shared" si="522"/>
        <v>69779.14</v>
      </c>
      <c r="AG404" s="905">
        <f t="shared" si="522"/>
        <v>93800</v>
      </c>
      <c r="AH404" s="905">
        <f t="shared" si="522"/>
        <v>22055.21</v>
      </c>
      <c r="AI404" s="905">
        <f t="shared" si="522"/>
        <v>64805</v>
      </c>
      <c r="AJ404" s="905">
        <f t="shared" si="522"/>
        <v>0</v>
      </c>
      <c r="AK404" s="905">
        <f t="shared" si="522"/>
        <v>65962.2</v>
      </c>
      <c r="AL404" s="905">
        <f t="shared" si="522"/>
        <v>0</v>
      </c>
      <c r="AM404" s="905">
        <f t="shared" si="522"/>
        <v>1157.1999999999998</v>
      </c>
      <c r="AN404" s="905">
        <f t="shared" si="522"/>
        <v>0</v>
      </c>
      <c r="AO404" s="905">
        <f t="shared" si="522"/>
        <v>14167.16</v>
      </c>
      <c r="AP404" s="905">
        <f t="shared" si="522"/>
        <v>0</v>
      </c>
      <c r="AQ404" s="905">
        <f t="shared" si="522"/>
        <v>18091.5</v>
      </c>
      <c r="AR404" s="905">
        <f t="shared" si="522"/>
        <v>1707.0000000000002</v>
      </c>
      <c r="AS404" s="905">
        <f t="shared" si="522"/>
        <v>0</v>
      </c>
      <c r="AT404" s="905">
        <f t="shared" si="522"/>
        <v>65962.2</v>
      </c>
      <c r="AU404" s="905">
        <f t="shared" si="522"/>
        <v>0</v>
      </c>
      <c r="AV404" s="905">
        <f t="shared" si="522"/>
        <v>0</v>
      </c>
      <c r="AW404" s="905">
        <f t="shared" si="522"/>
        <v>65962.2</v>
      </c>
    </row>
    <row r="405" spans="2:49" s="906" customFormat="1" ht="26.25">
      <c r="B405" s="903"/>
      <c r="C405" s="903" t="str">
        <f>C214</f>
        <v xml:space="preserve">ПЕДІАТРИЧНЕ ВІДДІЛЕННЯ  </v>
      </c>
      <c r="D405" s="903"/>
      <c r="E405" s="903"/>
      <c r="F405" s="903"/>
      <c r="G405" s="903"/>
      <c r="H405" s="903"/>
      <c r="I405" s="903"/>
      <c r="J405" s="903"/>
      <c r="K405" s="903"/>
      <c r="L405" s="903"/>
      <c r="M405" s="903"/>
      <c r="N405" s="903"/>
      <c r="O405" s="903"/>
      <c r="P405" s="903"/>
      <c r="Q405" s="903"/>
      <c r="R405" s="903"/>
      <c r="S405" s="904">
        <f>S231</f>
        <v>8.5</v>
      </c>
      <c r="T405" s="904">
        <f>T231</f>
        <v>0.5</v>
      </c>
      <c r="U405" s="904"/>
      <c r="V405" s="904"/>
      <c r="W405" s="904"/>
      <c r="X405" s="904"/>
      <c r="Y405" s="904"/>
      <c r="Z405" s="904"/>
      <c r="AA405" s="904"/>
      <c r="AB405" s="905">
        <f>AB231</f>
        <v>61573</v>
      </c>
      <c r="AC405" s="905">
        <f t="shared" ref="AC405:AW405" si="523">AC231</f>
        <v>53509.8</v>
      </c>
      <c r="AD405" s="905">
        <f t="shared" si="523"/>
        <v>115082.8</v>
      </c>
      <c r="AE405" s="905">
        <f t="shared" si="523"/>
        <v>115082.8</v>
      </c>
      <c r="AF405" s="905">
        <f t="shared" si="523"/>
        <v>53509.8</v>
      </c>
      <c r="AG405" s="905">
        <f t="shared" si="523"/>
        <v>60300</v>
      </c>
      <c r="AH405" s="905">
        <f t="shared" si="523"/>
        <v>8790.0999999999985</v>
      </c>
      <c r="AI405" s="905">
        <f t="shared" si="523"/>
        <v>40141.5</v>
      </c>
      <c r="AJ405" s="905">
        <f t="shared" si="523"/>
        <v>3283.5</v>
      </c>
      <c r="AK405" s="905">
        <f t="shared" si="523"/>
        <v>40642</v>
      </c>
      <c r="AL405" s="905">
        <f t="shared" si="523"/>
        <v>3283.5</v>
      </c>
      <c r="AM405" s="905">
        <f t="shared" si="523"/>
        <v>500.5</v>
      </c>
      <c r="AN405" s="905">
        <f t="shared" si="523"/>
        <v>0</v>
      </c>
      <c r="AO405" s="905">
        <f t="shared" si="523"/>
        <v>8108.1</v>
      </c>
      <c r="AP405" s="905">
        <f t="shared" si="523"/>
        <v>656.7</v>
      </c>
      <c r="AQ405" s="905">
        <f t="shared" si="523"/>
        <v>8199.9</v>
      </c>
      <c r="AR405" s="905">
        <f t="shared" si="523"/>
        <v>682.80000000000007</v>
      </c>
      <c r="AS405" s="905">
        <f t="shared" si="523"/>
        <v>0</v>
      </c>
      <c r="AT405" s="905">
        <f t="shared" si="523"/>
        <v>40642</v>
      </c>
      <c r="AU405" s="905">
        <f t="shared" si="523"/>
        <v>3283.5</v>
      </c>
      <c r="AV405" s="905">
        <f t="shared" si="523"/>
        <v>0</v>
      </c>
      <c r="AW405" s="905">
        <f t="shared" si="523"/>
        <v>43925.5</v>
      </c>
    </row>
    <row r="406" spans="2:49" s="906" customFormat="1" ht="26.25">
      <c r="B406" s="903"/>
      <c r="C406" s="903" t="str">
        <f>C232</f>
        <v>ХІРУРГІЧНЕ ВІДДІЛЕННЯ З ОПЕРАЦІЙНИМ БЛОКОМ</v>
      </c>
      <c r="D406" s="903"/>
      <c r="E406" s="903"/>
      <c r="F406" s="903"/>
      <c r="G406" s="903"/>
      <c r="H406" s="903"/>
      <c r="I406" s="903"/>
      <c r="J406" s="903"/>
      <c r="K406" s="903"/>
      <c r="L406" s="903"/>
      <c r="M406" s="903"/>
      <c r="N406" s="903"/>
      <c r="O406" s="903"/>
      <c r="P406" s="903"/>
      <c r="Q406" s="903"/>
      <c r="R406" s="903"/>
      <c r="S406" s="904">
        <f>S274</f>
        <v>27.5</v>
      </c>
      <c r="T406" s="904">
        <f>T274</f>
        <v>1</v>
      </c>
      <c r="U406" s="904"/>
      <c r="V406" s="904"/>
      <c r="W406" s="904"/>
      <c r="X406" s="904"/>
      <c r="Y406" s="904"/>
      <c r="Z406" s="904"/>
      <c r="AA406" s="904"/>
      <c r="AB406" s="905">
        <f>AB274</f>
        <v>217933.43124999999</v>
      </c>
      <c r="AC406" s="905">
        <f t="shared" ref="AC406:AW406" si="524">AC274</f>
        <v>164043.16875000001</v>
      </c>
      <c r="AD406" s="905">
        <f t="shared" si="524"/>
        <v>381976.6</v>
      </c>
      <c r="AE406" s="905">
        <f t="shared" si="524"/>
        <v>381976.6</v>
      </c>
      <c r="AF406" s="905">
        <f t="shared" si="524"/>
        <v>164043.16875000001</v>
      </c>
      <c r="AG406" s="905">
        <f t="shared" si="524"/>
        <v>190950</v>
      </c>
      <c r="AH406" s="905">
        <f t="shared" si="524"/>
        <v>54518.181250000001</v>
      </c>
      <c r="AI406" s="905">
        <f t="shared" si="524"/>
        <v>133525.5</v>
      </c>
      <c r="AJ406" s="905">
        <f t="shared" si="524"/>
        <v>6567</v>
      </c>
      <c r="AK406" s="905">
        <f t="shared" si="524"/>
        <v>149080.125</v>
      </c>
      <c r="AL406" s="905">
        <f t="shared" si="524"/>
        <v>8208.75</v>
      </c>
      <c r="AM406" s="905">
        <f t="shared" si="524"/>
        <v>15554.625</v>
      </c>
      <c r="AN406" s="905">
        <f t="shared" si="524"/>
        <v>1641.75</v>
      </c>
      <c r="AO406" s="905">
        <f t="shared" si="524"/>
        <v>24681.8</v>
      </c>
      <c r="AP406" s="905">
        <f t="shared" si="524"/>
        <v>1039.65625</v>
      </c>
      <c r="AQ406" s="905">
        <f t="shared" si="524"/>
        <v>31746.5</v>
      </c>
      <c r="AR406" s="905">
        <f t="shared" si="524"/>
        <v>3176.6000000000004</v>
      </c>
      <c r="AS406" s="905">
        <f t="shared" si="524"/>
        <v>0</v>
      </c>
      <c r="AT406" s="905">
        <f t="shared" si="524"/>
        <v>149080.125</v>
      </c>
      <c r="AU406" s="905">
        <f t="shared" si="524"/>
        <v>8208.75</v>
      </c>
      <c r="AV406" s="905">
        <f t="shared" si="524"/>
        <v>0</v>
      </c>
      <c r="AW406" s="905">
        <f t="shared" si="524"/>
        <v>157288.875</v>
      </c>
    </row>
    <row r="407" spans="2:49" s="906" customFormat="1" ht="26.25">
      <c r="B407" s="903"/>
      <c r="C407" s="903" t="str">
        <f>C275</f>
        <v xml:space="preserve">ВІДДІЛЕННЯ АНЕСТЕЗІОЛОГІЇ ТА ІНТЕНСИВНОЇ ТЕРАПІЇ </v>
      </c>
      <c r="D407" s="903"/>
      <c r="E407" s="903"/>
      <c r="F407" s="903"/>
      <c r="G407" s="903"/>
      <c r="H407" s="903"/>
      <c r="I407" s="903"/>
      <c r="J407" s="903"/>
      <c r="K407" s="903"/>
      <c r="L407" s="903"/>
      <c r="M407" s="903"/>
      <c r="N407" s="903"/>
      <c r="O407" s="903"/>
      <c r="P407" s="903"/>
      <c r="Q407" s="903"/>
      <c r="R407" s="903"/>
      <c r="S407" s="904">
        <f>S304</f>
        <v>21</v>
      </c>
      <c r="T407" s="904">
        <f>T304</f>
        <v>0.5</v>
      </c>
      <c r="U407" s="904"/>
      <c r="V407" s="904"/>
      <c r="W407" s="904"/>
      <c r="X407" s="904"/>
      <c r="Y407" s="904"/>
      <c r="Z407" s="904"/>
      <c r="AA407" s="904"/>
      <c r="AB407" s="905">
        <f>AB304</f>
        <v>168862.57250000001</v>
      </c>
      <c r="AC407" s="905">
        <f t="shared" ref="AC407:AW407" si="525">AC304</f>
        <v>131600.47750000001</v>
      </c>
      <c r="AD407" s="905">
        <f t="shared" si="525"/>
        <v>300463.05</v>
      </c>
      <c r="AE407" s="905">
        <f t="shared" si="525"/>
        <v>300463.05</v>
      </c>
      <c r="AF407" s="905">
        <f t="shared" si="525"/>
        <v>131600.47750000001</v>
      </c>
      <c r="AG407" s="905">
        <f t="shared" si="525"/>
        <v>144050</v>
      </c>
      <c r="AH407" s="905">
        <f t="shared" si="525"/>
        <v>28606.125</v>
      </c>
      <c r="AI407" s="905">
        <f t="shared" si="525"/>
        <v>107042</v>
      </c>
      <c r="AJ407" s="905">
        <f t="shared" si="525"/>
        <v>3066.5</v>
      </c>
      <c r="AK407" s="905">
        <f t="shared" si="525"/>
        <v>126334.255</v>
      </c>
      <c r="AL407" s="905">
        <f t="shared" si="525"/>
        <v>3526.4749999999999</v>
      </c>
      <c r="AM407" s="905">
        <f t="shared" si="525"/>
        <v>19292.255000000001</v>
      </c>
      <c r="AN407" s="905">
        <f t="shared" si="525"/>
        <v>459.97499999999991</v>
      </c>
      <c r="AO407" s="905">
        <f t="shared" si="525"/>
        <v>22014.047500000001</v>
      </c>
      <c r="AP407" s="905">
        <f t="shared" si="525"/>
        <v>705.29500000000007</v>
      </c>
      <c r="AQ407" s="905">
        <f t="shared" si="525"/>
        <v>14319.449999999999</v>
      </c>
      <c r="AR407" s="905">
        <f t="shared" si="525"/>
        <v>1963.0500000000002</v>
      </c>
      <c r="AS407" s="905">
        <f t="shared" si="525"/>
        <v>0</v>
      </c>
      <c r="AT407" s="905">
        <f t="shared" si="525"/>
        <v>126334.255</v>
      </c>
      <c r="AU407" s="905">
        <f t="shared" si="525"/>
        <v>3526.4749999999999</v>
      </c>
      <c r="AV407" s="905">
        <f t="shared" si="525"/>
        <v>0</v>
      </c>
      <c r="AW407" s="905">
        <f t="shared" si="525"/>
        <v>129860.73</v>
      </c>
    </row>
    <row r="408" spans="2:49" s="906" customFormat="1" ht="26.25">
      <c r="B408" s="903"/>
      <c r="C408" s="903" t="str">
        <f>C306</f>
        <v>ПРИЙМАЛЬНЕ ВІДДІЛЕННЯ</v>
      </c>
      <c r="D408" s="903"/>
      <c r="E408" s="903"/>
      <c r="F408" s="903"/>
      <c r="G408" s="903"/>
      <c r="H408" s="903"/>
      <c r="I408" s="903"/>
      <c r="J408" s="903"/>
      <c r="K408" s="903"/>
      <c r="L408" s="903"/>
      <c r="M408" s="903"/>
      <c r="N408" s="903"/>
      <c r="O408" s="903"/>
      <c r="P408" s="903"/>
      <c r="Q408" s="903"/>
      <c r="R408" s="903"/>
      <c r="S408" s="904">
        <f>S326</f>
        <v>13</v>
      </c>
      <c r="T408" s="904">
        <f>T326</f>
        <v>0</v>
      </c>
      <c r="U408" s="904"/>
      <c r="V408" s="904"/>
      <c r="W408" s="904"/>
      <c r="X408" s="904"/>
      <c r="Y408" s="904"/>
      <c r="Z408" s="904"/>
      <c r="AA408" s="904"/>
      <c r="AB408" s="905">
        <f>AB326</f>
        <v>89264.15</v>
      </c>
      <c r="AC408" s="905">
        <f t="shared" ref="AC408:AW408" si="526">AC326</f>
        <v>66942.850000000006</v>
      </c>
      <c r="AD408" s="905">
        <f t="shared" si="526"/>
        <v>156207</v>
      </c>
      <c r="AE408" s="905">
        <f t="shared" si="526"/>
        <v>156207</v>
      </c>
      <c r="AF408" s="905">
        <f t="shared" si="526"/>
        <v>66942.850000000006</v>
      </c>
      <c r="AG408" s="905">
        <f t="shared" si="526"/>
        <v>87100</v>
      </c>
      <c r="AH408" s="905">
        <f t="shared" si="526"/>
        <v>23212.5</v>
      </c>
      <c r="AI408" s="905">
        <f t="shared" si="526"/>
        <v>56010</v>
      </c>
      <c r="AJ408" s="905">
        <f t="shared" si="526"/>
        <v>0</v>
      </c>
      <c r="AK408" s="905">
        <f t="shared" si="526"/>
        <v>56510.5</v>
      </c>
      <c r="AL408" s="905">
        <f t="shared" si="526"/>
        <v>0</v>
      </c>
      <c r="AM408" s="905">
        <f t="shared" si="526"/>
        <v>500.5</v>
      </c>
      <c r="AN408" s="905">
        <f t="shared" si="526"/>
        <v>0</v>
      </c>
      <c r="AO408" s="905">
        <f t="shared" si="526"/>
        <v>8887.15</v>
      </c>
      <c r="AP408" s="905">
        <f t="shared" si="526"/>
        <v>0</v>
      </c>
      <c r="AQ408" s="905">
        <f t="shared" si="526"/>
        <v>23212.5</v>
      </c>
      <c r="AR408" s="905">
        <f t="shared" si="526"/>
        <v>1707.0000000000002</v>
      </c>
      <c r="AS408" s="905">
        <f t="shared" si="526"/>
        <v>0</v>
      </c>
      <c r="AT408" s="905">
        <f t="shared" si="526"/>
        <v>56510.5</v>
      </c>
      <c r="AU408" s="905">
        <f t="shared" si="526"/>
        <v>0</v>
      </c>
      <c r="AV408" s="905">
        <f t="shared" si="526"/>
        <v>0</v>
      </c>
      <c r="AW408" s="905">
        <f t="shared" si="526"/>
        <v>56510.5</v>
      </c>
    </row>
    <row r="409" spans="2:49" s="906" customFormat="1" ht="26.25">
      <c r="B409" s="903"/>
      <c r="C409" s="903" t="str">
        <f>C327</f>
        <v>ЦЕНТРАЛІЗОВАНА СТЕРИЛІЗАЦІЙНА</v>
      </c>
      <c r="D409" s="903"/>
      <c r="E409" s="903"/>
      <c r="F409" s="903"/>
      <c r="G409" s="903"/>
      <c r="H409" s="903"/>
      <c r="I409" s="903"/>
      <c r="J409" s="903"/>
      <c r="K409" s="903"/>
      <c r="L409" s="903"/>
      <c r="M409" s="903"/>
      <c r="N409" s="903"/>
      <c r="O409" s="903"/>
      <c r="P409" s="903"/>
      <c r="Q409" s="903"/>
      <c r="R409" s="903"/>
      <c r="S409" s="904">
        <f>S330</f>
        <v>1</v>
      </c>
      <c r="T409" s="904">
        <f>T330</f>
        <v>0</v>
      </c>
      <c r="U409" s="904"/>
      <c r="V409" s="904"/>
      <c r="W409" s="904"/>
      <c r="X409" s="904"/>
      <c r="Y409" s="904"/>
      <c r="Z409" s="904"/>
      <c r="AA409" s="904"/>
      <c r="AB409" s="905">
        <f>AB330</f>
        <v>6700</v>
      </c>
      <c r="AC409" s="905">
        <f t="shared" ref="AC409:AW409" si="527">AC330</f>
        <v>6800</v>
      </c>
      <c r="AD409" s="905">
        <f t="shared" si="527"/>
        <v>13500</v>
      </c>
      <c r="AE409" s="905">
        <f t="shared" si="527"/>
        <v>13500</v>
      </c>
      <c r="AF409" s="905">
        <f t="shared" si="527"/>
        <v>6800</v>
      </c>
      <c r="AG409" s="905">
        <f t="shared" si="527"/>
        <v>6700</v>
      </c>
      <c r="AH409" s="905">
        <f t="shared" si="527"/>
        <v>193.5</v>
      </c>
      <c r="AI409" s="905">
        <f t="shared" si="527"/>
        <v>5005</v>
      </c>
      <c r="AJ409" s="905">
        <f t="shared" si="527"/>
        <v>0</v>
      </c>
      <c r="AK409" s="905">
        <f t="shared" si="527"/>
        <v>5005</v>
      </c>
      <c r="AL409" s="905">
        <f t="shared" si="527"/>
        <v>0</v>
      </c>
      <c r="AM409" s="905">
        <f t="shared" si="527"/>
        <v>0</v>
      </c>
      <c r="AN409" s="905">
        <f t="shared" si="527"/>
        <v>0</v>
      </c>
      <c r="AO409" s="905">
        <f t="shared" si="527"/>
        <v>1501.5</v>
      </c>
      <c r="AP409" s="905">
        <f t="shared" si="527"/>
        <v>0</v>
      </c>
      <c r="AQ409" s="905">
        <f t="shared" si="527"/>
        <v>193.5</v>
      </c>
      <c r="AR409" s="905">
        <f t="shared" si="527"/>
        <v>0</v>
      </c>
      <c r="AS409" s="905">
        <f t="shared" si="527"/>
        <v>0</v>
      </c>
      <c r="AT409" s="905">
        <f t="shared" si="527"/>
        <v>5005</v>
      </c>
      <c r="AU409" s="905">
        <f t="shared" si="527"/>
        <v>0</v>
      </c>
      <c r="AV409" s="905">
        <f t="shared" si="527"/>
        <v>0</v>
      </c>
      <c r="AW409" s="905">
        <f t="shared" si="527"/>
        <v>5005</v>
      </c>
    </row>
    <row r="410" spans="2:49" s="906" customFormat="1" ht="26.25">
      <c r="B410" s="903"/>
      <c r="C410" s="903" t="str">
        <f>C333</f>
        <v>КЛІНІКО-ДІАГНОСТИЧНА ЛАБОРАТОРІЯ</v>
      </c>
      <c r="D410" s="903"/>
      <c r="E410" s="903"/>
      <c r="F410" s="903"/>
      <c r="G410" s="903"/>
      <c r="H410" s="903"/>
      <c r="I410" s="903"/>
      <c r="J410" s="903"/>
      <c r="K410" s="903"/>
      <c r="L410" s="903"/>
      <c r="M410" s="903"/>
      <c r="N410" s="903"/>
      <c r="O410" s="903"/>
      <c r="P410" s="903"/>
      <c r="Q410" s="903"/>
      <c r="R410" s="903"/>
      <c r="S410" s="904">
        <f>S349</f>
        <v>9</v>
      </c>
      <c r="T410" s="904">
        <f>T349</f>
        <v>0</v>
      </c>
      <c r="U410" s="904"/>
      <c r="V410" s="904"/>
      <c r="W410" s="904"/>
      <c r="X410" s="904"/>
      <c r="Y410" s="904"/>
      <c r="Z410" s="904"/>
      <c r="AA410" s="904"/>
      <c r="AB410" s="905">
        <f>AB349</f>
        <v>72750.0965</v>
      </c>
      <c r="AC410" s="905">
        <f t="shared" ref="AC410:AW410" si="528">AC349</f>
        <v>55291.303500000002</v>
      </c>
      <c r="AD410" s="905">
        <f t="shared" si="528"/>
        <v>128041.4</v>
      </c>
      <c r="AE410" s="905">
        <f t="shared" si="528"/>
        <v>128041.4</v>
      </c>
      <c r="AF410" s="905">
        <f t="shared" si="528"/>
        <v>55291.303500000002</v>
      </c>
      <c r="AG410" s="905">
        <f t="shared" si="528"/>
        <v>60300</v>
      </c>
      <c r="AH410" s="905">
        <f t="shared" si="528"/>
        <v>11200.6715</v>
      </c>
      <c r="AI410" s="905">
        <f t="shared" si="528"/>
        <v>47358</v>
      </c>
      <c r="AJ410" s="905">
        <f t="shared" si="528"/>
        <v>0</v>
      </c>
      <c r="AK410" s="905">
        <f t="shared" si="528"/>
        <v>54704.805</v>
      </c>
      <c r="AL410" s="905">
        <f t="shared" si="528"/>
        <v>0</v>
      </c>
      <c r="AM410" s="905">
        <f t="shared" si="528"/>
        <v>7346.8049999999994</v>
      </c>
      <c r="AN410" s="905">
        <f t="shared" si="528"/>
        <v>0</v>
      </c>
      <c r="AO410" s="905">
        <f t="shared" si="528"/>
        <v>13720.316499999999</v>
      </c>
      <c r="AP410" s="905">
        <f t="shared" si="528"/>
        <v>0</v>
      </c>
      <c r="AQ410" s="905">
        <f t="shared" si="528"/>
        <v>3983.5749999999998</v>
      </c>
      <c r="AR410" s="905">
        <f t="shared" si="528"/>
        <v>341.40000000000003</v>
      </c>
      <c r="AS410" s="905">
        <f t="shared" si="528"/>
        <v>0</v>
      </c>
      <c r="AT410" s="905">
        <f t="shared" si="528"/>
        <v>54704.805</v>
      </c>
      <c r="AU410" s="905">
        <f t="shared" si="528"/>
        <v>0</v>
      </c>
      <c r="AV410" s="905">
        <f t="shared" si="528"/>
        <v>0</v>
      </c>
      <c r="AW410" s="905">
        <f t="shared" si="528"/>
        <v>54704.805</v>
      </c>
    </row>
    <row r="411" spans="2:49" s="906" customFormat="1" ht="26.25">
      <c r="B411" s="903"/>
      <c r="C411" s="903" t="str">
        <f>C350</f>
        <v>РЕНТГЕН КАБІНЕТ</v>
      </c>
      <c r="D411" s="903"/>
      <c r="E411" s="903"/>
      <c r="F411" s="903"/>
      <c r="G411" s="903"/>
      <c r="H411" s="903"/>
      <c r="I411" s="903"/>
      <c r="J411" s="903"/>
      <c r="K411" s="903"/>
      <c r="L411" s="903"/>
      <c r="M411" s="903"/>
      <c r="N411" s="903"/>
      <c r="O411" s="903"/>
      <c r="P411" s="903"/>
      <c r="Q411" s="903"/>
      <c r="R411" s="903"/>
      <c r="S411" s="904">
        <f>S360</f>
        <v>4</v>
      </c>
      <c r="T411" s="904">
        <f>T360</f>
        <v>0.5</v>
      </c>
      <c r="U411" s="904"/>
      <c r="V411" s="904"/>
      <c r="W411" s="904"/>
      <c r="X411" s="904"/>
      <c r="Y411" s="904"/>
      <c r="Z411" s="904"/>
      <c r="AA411" s="904"/>
      <c r="AB411" s="905">
        <f>AB360</f>
        <v>33379.195000000007</v>
      </c>
      <c r="AC411" s="905">
        <f t="shared" ref="AC411:AW411" si="529">AC360</f>
        <v>30620.804999999997</v>
      </c>
      <c r="AD411" s="905">
        <f t="shared" si="529"/>
        <v>64000</v>
      </c>
      <c r="AE411" s="905">
        <f t="shared" si="529"/>
        <v>64000</v>
      </c>
      <c r="AF411" s="905">
        <f t="shared" si="529"/>
        <v>30620.804999999997</v>
      </c>
      <c r="AG411" s="905">
        <f t="shared" si="529"/>
        <v>30150</v>
      </c>
      <c r="AH411" s="905">
        <f t="shared" si="529"/>
        <v>1310.2450000000006</v>
      </c>
      <c r="AI411" s="905">
        <f t="shared" si="529"/>
        <v>19210</v>
      </c>
      <c r="AJ411" s="905">
        <f t="shared" si="529"/>
        <v>3066.5</v>
      </c>
      <c r="AK411" s="905">
        <f t="shared" si="529"/>
        <v>22091.5</v>
      </c>
      <c r="AL411" s="905">
        <f t="shared" si="529"/>
        <v>3526.4749999999999</v>
      </c>
      <c r="AM411" s="905">
        <f t="shared" si="529"/>
        <v>2881.5</v>
      </c>
      <c r="AN411" s="905">
        <f t="shared" si="529"/>
        <v>459.97499999999991</v>
      </c>
      <c r="AO411" s="905">
        <f t="shared" si="529"/>
        <v>6627.4500000000007</v>
      </c>
      <c r="AP411" s="905">
        <f t="shared" si="529"/>
        <v>705.29500000000007</v>
      </c>
      <c r="AQ411" s="905">
        <f t="shared" si="529"/>
        <v>428.47500000000014</v>
      </c>
      <c r="AR411" s="905">
        <f t="shared" si="529"/>
        <v>0</v>
      </c>
      <c r="AS411" s="905">
        <f t="shared" si="529"/>
        <v>0</v>
      </c>
      <c r="AT411" s="905">
        <f t="shared" si="529"/>
        <v>22091.5</v>
      </c>
      <c r="AU411" s="905">
        <f t="shared" si="529"/>
        <v>3526.4749999999999</v>
      </c>
      <c r="AV411" s="905">
        <f t="shared" si="529"/>
        <v>0</v>
      </c>
      <c r="AW411" s="905">
        <f t="shared" si="529"/>
        <v>25617.974999999999</v>
      </c>
    </row>
    <row r="412" spans="2:49" s="906" customFormat="1" ht="26.25">
      <c r="B412" s="903"/>
      <c r="C412" s="903" t="str">
        <f>C361</f>
        <v>ФІЗІОТЕРАПЕВТИЧНЕ ВІДДІЛЕННЯ</v>
      </c>
      <c r="D412" s="903"/>
      <c r="E412" s="903"/>
      <c r="F412" s="903"/>
      <c r="G412" s="903"/>
      <c r="H412" s="903"/>
      <c r="I412" s="903"/>
      <c r="J412" s="903"/>
      <c r="K412" s="903"/>
      <c r="L412" s="903"/>
      <c r="M412" s="903"/>
      <c r="N412" s="903"/>
      <c r="O412" s="903"/>
      <c r="P412" s="903"/>
      <c r="Q412" s="903"/>
      <c r="R412" s="903"/>
      <c r="S412" s="904">
        <f>S378</f>
        <v>10</v>
      </c>
      <c r="T412" s="904">
        <f>T378</f>
        <v>0</v>
      </c>
      <c r="U412" s="904"/>
      <c r="V412" s="904"/>
      <c r="W412" s="904"/>
      <c r="X412" s="904"/>
      <c r="Y412" s="904"/>
      <c r="Z412" s="904"/>
      <c r="AA412" s="904"/>
      <c r="AB412" s="905">
        <f>AB378</f>
        <v>74777.631499999989</v>
      </c>
      <c r="AC412" s="905">
        <f t="shared" ref="AC412:AW412" si="530">AC378</f>
        <v>60263.768500000006</v>
      </c>
      <c r="AD412" s="905">
        <f t="shared" si="530"/>
        <v>135041.4</v>
      </c>
      <c r="AE412" s="905">
        <f t="shared" si="530"/>
        <v>135041.4</v>
      </c>
      <c r="AF412" s="905">
        <f t="shared" si="530"/>
        <v>60263.768500000006</v>
      </c>
      <c r="AG412" s="905">
        <f t="shared" si="530"/>
        <v>67000</v>
      </c>
      <c r="AH412" s="905">
        <f t="shared" si="530"/>
        <v>8778.4314999999988</v>
      </c>
      <c r="AI412" s="905">
        <f t="shared" si="530"/>
        <v>49761</v>
      </c>
      <c r="AJ412" s="905">
        <f t="shared" si="530"/>
        <v>0</v>
      </c>
      <c r="AK412" s="905">
        <f t="shared" si="530"/>
        <v>55255.004999999997</v>
      </c>
      <c r="AL412" s="905">
        <f t="shared" si="530"/>
        <v>0</v>
      </c>
      <c r="AM412" s="905">
        <f t="shared" si="530"/>
        <v>5494.0049999999992</v>
      </c>
      <c r="AN412" s="905">
        <f t="shared" si="530"/>
        <v>0</v>
      </c>
      <c r="AO412" s="905">
        <f t="shared" si="530"/>
        <v>14502.226500000001</v>
      </c>
      <c r="AP412" s="905">
        <f t="shared" si="530"/>
        <v>0</v>
      </c>
      <c r="AQ412" s="905">
        <f t="shared" si="530"/>
        <v>4679</v>
      </c>
      <c r="AR412" s="905">
        <f t="shared" si="530"/>
        <v>341.40000000000003</v>
      </c>
      <c r="AS412" s="905">
        <f t="shared" si="530"/>
        <v>0</v>
      </c>
      <c r="AT412" s="905">
        <f t="shared" si="530"/>
        <v>55255.004999999997</v>
      </c>
      <c r="AU412" s="905">
        <f t="shared" si="530"/>
        <v>0</v>
      </c>
      <c r="AV412" s="905">
        <f t="shared" si="530"/>
        <v>0</v>
      </c>
      <c r="AW412" s="905">
        <f t="shared" si="530"/>
        <v>55255.004999999997</v>
      </c>
    </row>
    <row r="413" spans="2:49" s="906" customFormat="1" ht="26.25">
      <c r="B413" s="903"/>
      <c r="C413" s="903" t="str">
        <f>C379</f>
        <v>ВІДДІЛ З ІНФЕКЦІЙНОГО КОНТРОЛЮ</v>
      </c>
      <c r="D413" s="903"/>
      <c r="E413" s="903"/>
      <c r="F413" s="903"/>
      <c r="G413" s="903"/>
      <c r="H413" s="903"/>
      <c r="I413" s="903"/>
      <c r="J413" s="903"/>
      <c r="K413" s="903"/>
      <c r="L413" s="903"/>
      <c r="M413" s="903"/>
      <c r="N413" s="903"/>
      <c r="O413" s="903"/>
      <c r="P413" s="903"/>
      <c r="Q413" s="903"/>
      <c r="R413" s="903"/>
      <c r="S413" s="904">
        <f>S388</f>
        <v>4</v>
      </c>
      <c r="T413" s="904">
        <f>T388</f>
        <v>0</v>
      </c>
      <c r="U413" s="904"/>
      <c r="V413" s="904"/>
      <c r="W413" s="904"/>
      <c r="X413" s="904"/>
      <c r="Y413" s="904"/>
      <c r="Z413" s="904"/>
      <c r="AA413" s="904"/>
      <c r="AB413" s="905">
        <f>AB388</f>
        <v>28781.599999999999</v>
      </c>
      <c r="AC413" s="905">
        <f t="shared" ref="AC413:AW413" si="531">AC388</f>
        <v>31718.400000000001</v>
      </c>
      <c r="AD413" s="905">
        <f t="shared" si="531"/>
        <v>60500</v>
      </c>
      <c r="AE413" s="905">
        <f t="shared" si="531"/>
        <v>60500</v>
      </c>
      <c r="AF413" s="905">
        <f t="shared" si="531"/>
        <v>31718.400000000001</v>
      </c>
      <c r="AG413" s="905">
        <f t="shared" si="531"/>
        <v>26800</v>
      </c>
      <c r="AH413" s="905">
        <f t="shared" si="531"/>
        <v>4180.6000000000004</v>
      </c>
      <c r="AI413" s="905">
        <f t="shared" si="531"/>
        <v>21552</v>
      </c>
      <c r="AJ413" s="905">
        <f t="shared" si="531"/>
        <v>0</v>
      </c>
      <c r="AK413" s="905">
        <f t="shared" si="531"/>
        <v>21552</v>
      </c>
      <c r="AL413" s="905">
        <f t="shared" si="531"/>
        <v>0</v>
      </c>
      <c r="AM413" s="905">
        <f t="shared" si="531"/>
        <v>0</v>
      </c>
      <c r="AN413" s="905">
        <f t="shared" si="531"/>
        <v>0</v>
      </c>
      <c r="AO413" s="905">
        <f t="shared" si="531"/>
        <v>4886.1000000000004</v>
      </c>
      <c r="AP413" s="905">
        <f t="shared" si="531"/>
        <v>0</v>
      </c>
      <c r="AQ413" s="905">
        <f t="shared" si="531"/>
        <v>2343.5</v>
      </c>
      <c r="AR413" s="905">
        <f t="shared" si="531"/>
        <v>0</v>
      </c>
      <c r="AS413" s="905">
        <f t="shared" si="531"/>
        <v>0</v>
      </c>
      <c r="AT413" s="905">
        <f t="shared" si="531"/>
        <v>21552</v>
      </c>
      <c r="AU413" s="905">
        <f t="shared" si="531"/>
        <v>0</v>
      </c>
      <c r="AV413" s="905">
        <f t="shared" si="531"/>
        <v>0</v>
      </c>
      <c r="AW413" s="905">
        <f t="shared" si="531"/>
        <v>21552</v>
      </c>
    </row>
    <row r="414" spans="2:49" s="906" customFormat="1" ht="26.25">
      <c r="B414" s="903"/>
      <c r="C414" s="903" t="str">
        <f>C389</f>
        <v>ЗАГАЛЬНО - ЛІКАРНЯНИЙ ПЕРСОНАЛ</v>
      </c>
      <c r="D414" s="903"/>
      <c r="E414" s="903"/>
      <c r="F414" s="903"/>
      <c r="G414" s="903"/>
      <c r="H414" s="903"/>
      <c r="I414" s="903"/>
      <c r="J414" s="903"/>
      <c r="K414" s="903"/>
      <c r="L414" s="903"/>
      <c r="M414" s="903"/>
      <c r="N414" s="903"/>
      <c r="O414" s="903"/>
      <c r="P414" s="903"/>
      <c r="Q414" s="903"/>
      <c r="R414" s="903"/>
      <c r="S414" s="904">
        <f>S392</f>
        <v>1.5</v>
      </c>
      <c r="T414" s="904">
        <f>T392</f>
        <v>0</v>
      </c>
      <c r="U414" s="904"/>
      <c r="V414" s="904"/>
      <c r="W414" s="904"/>
      <c r="X414" s="904"/>
      <c r="Y414" s="904"/>
      <c r="Z414" s="904"/>
      <c r="AA414" s="904"/>
      <c r="AB414" s="905">
        <f>AB392</f>
        <v>10050</v>
      </c>
      <c r="AC414" s="905">
        <f t="shared" ref="AC414:AW414" si="532">AC392</f>
        <v>10200</v>
      </c>
      <c r="AD414" s="905">
        <f t="shared" si="532"/>
        <v>20250</v>
      </c>
      <c r="AE414" s="905">
        <f t="shared" si="532"/>
        <v>20250</v>
      </c>
      <c r="AF414" s="905">
        <f t="shared" si="532"/>
        <v>10200</v>
      </c>
      <c r="AG414" s="905">
        <f t="shared" si="532"/>
        <v>10050</v>
      </c>
      <c r="AH414" s="905">
        <f t="shared" si="532"/>
        <v>4356</v>
      </c>
      <c r="AI414" s="905">
        <f t="shared" si="532"/>
        <v>6842.5</v>
      </c>
      <c r="AJ414" s="905">
        <f t="shared" si="532"/>
        <v>0</v>
      </c>
      <c r="AK414" s="905">
        <f t="shared" si="532"/>
        <v>6842.5</v>
      </c>
      <c r="AL414" s="905">
        <f t="shared" si="532"/>
        <v>0</v>
      </c>
      <c r="AM414" s="905">
        <f t="shared" si="532"/>
        <v>0</v>
      </c>
      <c r="AN414" s="905">
        <f t="shared" si="532"/>
        <v>0</v>
      </c>
      <c r="AO414" s="905">
        <f t="shared" si="532"/>
        <v>949</v>
      </c>
      <c r="AP414" s="905">
        <f t="shared" si="532"/>
        <v>0</v>
      </c>
      <c r="AQ414" s="905">
        <f t="shared" si="532"/>
        <v>4356</v>
      </c>
      <c r="AR414" s="905">
        <f t="shared" si="532"/>
        <v>0</v>
      </c>
      <c r="AS414" s="905">
        <f t="shared" si="532"/>
        <v>0</v>
      </c>
      <c r="AT414" s="905">
        <f t="shared" si="532"/>
        <v>6842.5</v>
      </c>
      <c r="AU414" s="905">
        <f t="shared" si="532"/>
        <v>0</v>
      </c>
      <c r="AV414" s="905">
        <f t="shared" si="532"/>
        <v>0</v>
      </c>
      <c r="AW414" s="905">
        <f t="shared" si="532"/>
        <v>6842.5</v>
      </c>
    </row>
    <row r="415" spans="2:49" s="906" customFormat="1" ht="26.25">
      <c r="B415" s="903"/>
      <c r="C415" s="903"/>
      <c r="D415" s="903"/>
      <c r="E415" s="903"/>
      <c r="F415" s="903"/>
      <c r="G415" s="903"/>
      <c r="H415" s="903"/>
      <c r="I415" s="903"/>
      <c r="J415" s="903"/>
      <c r="K415" s="903"/>
      <c r="L415" s="903"/>
      <c r="M415" s="903"/>
      <c r="N415" s="903"/>
      <c r="O415" s="903"/>
      <c r="P415" s="903"/>
      <c r="Q415" s="903"/>
      <c r="R415" s="903"/>
      <c r="S415" s="904">
        <f>SUM(S395:S414)</f>
        <v>233.25</v>
      </c>
      <c r="T415" s="904">
        <f>SUM(T395:T414)</f>
        <v>8</v>
      </c>
      <c r="U415" s="904"/>
      <c r="V415" s="904"/>
      <c r="W415" s="904"/>
      <c r="X415" s="904"/>
      <c r="Y415" s="904"/>
      <c r="Z415" s="904"/>
      <c r="AA415" s="904"/>
      <c r="AB415" s="905">
        <f t="shared" ref="AB415:AW415" si="533">SUM(AB395:AB414)</f>
        <v>1820305.44822125</v>
      </c>
      <c r="AC415" s="905">
        <f t="shared" si="533"/>
        <v>1178334.4659937499</v>
      </c>
      <c r="AD415" s="905">
        <f t="shared" si="533"/>
        <v>2998639.9142149999</v>
      </c>
      <c r="AE415" s="905">
        <f t="shared" si="533"/>
        <v>2998639.9142149999</v>
      </c>
      <c r="AF415" s="905">
        <f t="shared" si="533"/>
        <v>1178334.4659937499</v>
      </c>
      <c r="AG415" s="905">
        <f t="shared" si="533"/>
        <v>1616375</v>
      </c>
      <c r="AH415" s="905">
        <f t="shared" si="533"/>
        <v>406628.337</v>
      </c>
      <c r="AI415" s="905">
        <f t="shared" si="533"/>
        <v>1135370.3187500001</v>
      </c>
      <c r="AJ415" s="905">
        <f t="shared" si="533"/>
        <v>43611</v>
      </c>
      <c r="AK415" s="905">
        <f t="shared" si="533"/>
        <v>1233112.0787124999</v>
      </c>
      <c r="AL415" s="905">
        <f t="shared" si="533"/>
        <v>49488.800000000003</v>
      </c>
      <c r="AM415" s="905">
        <f t="shared" si="533"/>
        <v>97741.7599625</v>
      </c>
      <c r="AN415" s="905">
        <f t="shared" si="533"/>
        <v>5877.8000000000011</v>
      </c>
      <c r="AO415" s="905">
        <f t="shared" si="533"/>
        <v>213698.13700874997</v>
      </c>
      <c r="AP415" s="905">
        <f t="shared" si="533"/>
        <v>5322.6512499999999</v>
      </c>
      <c r="AQ415" s="905">
        <f t="shared" si="533"/>
        <v>305380.78124999994</v>
      </c>
      <c r="AR415" s="905">
        <f t="shared" si="533"/>
        <v>16453.5</v>
      </c>
      <c r="AS415" s="905">
        <f t="shared" si="533"/>
        <v>0</v>
      </c>
      <c r="AT415" s="905">
        <f t="shared" si="533"/>
        <v>1233112.0787124999</v>
      </c>
      <c r="AU415" s="905">
        <f t="shared" si="533"/>
        <v>49488.800000000003</v>
      </c>
      <c r="AV415" s="905">
        <f t="shared" si="533"/>
        <v>0</v>
      </c>
      <c r="AW415" s="905">
        <f t="shared" si="533"/>
        <v>1282600.8787125</v>
      </c>
    </row>
    <row r="416" spans="2:49" s="906" customFormat="1" ht="26.25">
      <c r="B416" s="903"/>
      <c r="C416" s="903"/>
      <c r="D416" s="903"/>
      <c r="E416" s="903"/>
      <c r="F416" s="903"/>
      <c r="G416" s="903"/>
      <c r="H416" s="903"/>
      <c r="I416" s="903"/>
      <c r="J416" s="903"/>
      <c r="K416" s="903"/>
      <c r="L416" s="903"/>
      <c r="M416" s="903"/>
      <c r="N416" s="903"/>
      <c r="O416" s="903"/>
      <c r="P416" s="903"/>
      <c r="Q416" s="903"/>
      <c r="R416" s="903"/>
      <c r="S416" s="904"/>
      <c r="T416" s="904"/>
      <c r="U416" s="904"/>
      <c r="V416" s="904"/>
      <c r="W416" s="904"/>
      <c r="X416" s="904"/>
      <c r="Y416" s="904"/>
      <c r="Z416" s="904"/>
      <c r="AA416" s="904"/>
      <c r="AB416" s="905"/>
      <c r="AC416" s="905"/>
      <c r="AD416" s="905"/>
      <c r="AE416" s="905"/>
      <c r="AF416" s="905"/>
      <c r="AG416" s="905"/>
      <c r="AH416" s="905"/>
      <c r="AI416" s="905"/>
      <c r="AJ416" s="905"/>
      <c r="AK416" s="905"/>
      <c r="AL416" s="905"/>
      <c r="AM416" s="905"/>
      <c r="AN416" s="905"/>
      <c r="AO416" s="905"/>
      <c r="AP416" s="905"/>
      <c r="AQ416" s="905"/>
      <c r="AR416" s="905"/>
      <c r="AS416" s="905"/>
      <c r="AT416" s="905"/>
      <c r="AU416" s="905"/>
      <c r="AV416" s="905"/>
      <c r="AW416" s="905"/>
    </row>
    <row r="417" spans="1:49" s="906" customFormat="1" ht="26.25">
      <c r="B417" s="903"/>
      <c r="C417" s="903" t="str">
        <f>C8</f>
        <v>АПАРАТ УПРАВЛІННЯ</v>
      </c>
      <c r="D417" s="903"/>
      <c r="E417" s="903"/>
      <c r="F417" s="903"/>
      <c r="G417" s="903"/>
      <c r="H417" s="903"/>
      <c r="I417" s="903"/>
      <c r="J417" s="903"/>
      <c r="K417" s="903"/>
      <c r="L417" s="903"/>
      <c r="M417" s="903"/>
      <c r="N417" s="903"/>
      <c r="O417" s="903"/>
      <c r="P417" s="903"/>
      <c r="Q417" s="903"/>
      <c r="R417" s="903"/>
      <c r="S417" s="904">
        <f>S18+S27+S32+S40+S84</f>
        <v>49.5</v>
      </c>
      <c r="T417" s="904">
        <f>T18+T27+T32+T40+T84</f>
        <v>3.5</v>
      </c>
      <c r="U417" s="904"/>
      <c r="V417" s="904"/>
      <c r="W417" s="904"/>
      <c r="X417" s="904"/>
      <c r="Y417" s="904"/>
      <c r="Z417" s="904"/>
      <c r="AA417" s="904"/>
      <c r="AB417" s="908">
        <f>AB18+AB27+AB32+AB40+AB84</f>
        <v>409641.15497124998</v>
      </c>
      <c r="AC417" s="908">
        <f t="shared" ref="AC417:AW417" si="534">AC18+AC27+AC32+AC40+AC84</f>
        <v>14352.459243749996</v>
      </c>
      <c r="AD417" s="908">
        <f t="shared" si="534"/>
        <v>423993.61421499995</v>
      </c>
      <c r="AE417" s="908">
        <f t="shared" si="534"/>
        <v>423993.61421499995</v>
      </c>
      <c r="AF417" s="908">
        <f t="shared" si="534"/>
        <v>14352.459243749996</v>
      </c>
      <c r="AG417" s="908">
        <f t="shared" si="534"/>
        <v>355100</v>
      </c>
      <c r="AH417" s="908">
        <f t="shared" si="534"/>
        <v>130648.4</v>
      </c>
      <c r="AI417" s="908">
        <f t="shared" si="534"/>
        <v>230155.56875000001</v>
      </c>
      <c r="AJ417" s="908">
        <f t="shared" si="534"/>
        <v>14710.5</v>
      </c>
      <c r="AK417" s="908">
        <f t="shared" si="534"/>
        <v>248197.03371250001</v>
      </c>
      <c r="AL417" s="908">
        <f t="shared" si="534"/>
        <v>15760.7</v>
      </c>
      <c r="AM417" s="908">
        <f t="shared" si="534"/>
        <v>18041.464962500002</v>
      </c>
      <c r="AN417" s="908">
        <f t="shared" si="534"/>
        <v>1050.2000000000003</v>
      </c>
      <c r="AO417" s="908">
        <f t="shared" si="534"/>
        <v>13877.821258750002</v>
      </c>
      <c r="AP417" s="908">
        <f t="shared" si="534"/>
        <v>0</v>
      </c>
      <c r="AQ417" s="908">
        <f t="shared" si="534"/>
        <v>130648.4</v>
      </c>
      <c r="AR417" s="908">
        <f t="shared" si="534"/>
        <v>1157.2</v>
      </c>
      <c r="AS417" s="908">
        <f t="shared" si="534"/>
        <v>0</v>
      </c>
      <c r="AT417" s="908">
        <f t="shared" si="534"/>
        <v>248197.03371250001</v>
      </c>
      <c r="AU417" s="908">
        <f t="shared" si="534"/>
        <v>15760.7</v>
      </c>
      <c r="AV417" s="908">
        <f t="shared" si="534"/>
        <v>0</v>
      </c>
      <c r="AW417" s="908">
        <f t="shared" si="534"/>
        <v>263957.73371250002</v>
      </c>
    </row>
    <row r="418" spans="1:49" s="906" customFormat="1" ht="26.25">
      <c r="B418" s="903"/>
      <c r="C418" s="903" t="str">
        <f>C85</f>
        <v>ПОЛІКЛІНІКА</v>
      </c>
      <c r="D418" s="903"/>
      <c r="E418" s="903"/>
      <c r="F418" s="903"/>
      <c r="G418" s="903"/>
      <c r="H418" s="903"/>
      <c r="I418" s="903"/>
      <c r="J418" s="903"/>
      <c r="K418" s="903"/>
      <c r="L418" s="903"/>
      <c r="M418" s="903"/>
      <c r="N418" s="903"/>
      <c r="O418" s="903"/>
      <c r="P418" s="903"/>
      <c r="Q418" s="903"/>
      <c r="R418" s="903"/>
      <c r="S418" s="904">
        <f>S119</f>
        <v>25.25</v>
      </c>
      <c r="T418" s="904">
        <f>T119</f>
        <v>1</v>
      </c>
      <c r="U418" s="904"/>
      <c r="V418" s="904"/>
      <c r="W418" s="904"/>
      <c r="X418" s="904"/>
      <c r="Y418" s="904"/>
      <c r="Z418" s="904"/>
      <c r="AA418" s="904"/>
      <c r="AB418" s="908">
        <f>AB119</f>
        <v>204529.5975</v>
      </c>
      <c r="AC418" s="908">
        <f t="shared" ref="AC418:AW418" si="535">AC119</f>
        <v>248970.4025</v>
      </c>
      <c r="AD418" s="908">
        <f t="shared" si="535"/>
        <v>453500</v>
      </c>
      <c r="AE418" s="908">
        <f t="shared" si="535"/>
        <v>453500</v>
      </c>
      <c r="AF418" s="908">
        <f t="shared" si="535"/>
        <v>248970.4025</v>
      </c>
      <c r="AG418" s="908">
        <f t="shared" si="535"/>
        <v>175875</v>
      </c>
      <c r="AH418" s="908">
        <f t="shared" si="535"/>
        <v>32439.713750000003</v>
      </c>
      <c r="AI418" s="908">
        <f t="shared" si="535"/>
        <v>142596.25</v>
      </c>
      <c r="AJ418" s="908">
        <f t="shared" si="535"/>
        <v>6350</v>
      </c>
      <c r="AK418" s="908">
        <f t="shared" si="535"/>
        <v>151581.42499999999</v>
      </c>
      <c r="AL418" s="908">
        <f t="shared" si="535"/>
        <v>7630.85</v>
      </c>
      <c r="AM418" s="908">
        <f t="shared" si="535"/>
        <v>8985.1750000000011</v>
      </c>
      <c r="AN418" s="908">
        <f t="shared" si="535"/>
        <v>1280.8499999999999</v>
      </c>
      <c r="AO418" s="908">
        <f t="shared" si="535"/>
        <v>33990.946250000001</v>
      </c>
      <c r="AP418" s="908">
        <f t="shared" si="535"/>
        <v>705.29500000000007</v>
      </c>
      <c r="AQ418" s="908">
        <f t="shared" si="535"/>
        <v>10621.081249999999</v>
      </c>
      <c r="AR418" s="908">
        <f t="shared" si="535"/>
        <v>0</v>
      </c>
      <c r="AS418" s="908">
        <f t="shared" si="535"/>
        <v>0</v>
      </c>
      <c r="AT418" s="908">
        <f t="shared" si="535"/>
        <v>151581.42499999999</v>
      </c>
      <c r="AU418" s="908">
        <f t="shared" si="535"/>
        <v>7630.85</v>
      </c>
      <c r="AV418" s="908">
        <f t="shared" si="535"/>
        <v>0</v>
      </c>
      <c r="AW418" s="908">
        <f t="shared" si="535"/>
        <v>159212.27499999999</v>
      </c>
    </row>
    <row r="419" spans="1:49" s="906" customFormat="1" ht="26.25">
      <c r="B419" s="903"/>
      <c r="C419" s="903" t="str">
        <f>C120</f>
        <v>СТАЦІОНАР</v>
      </c>
      <c r="D419" s="903"/>
      <c r="E419" s="903"/>
      <c r="F419" s="903"/>
      <c r="G419" s="903"/>
      <c r="H419" s="903"/>
      <c r="I419" s="903"/>
      <c r="J419" s="903"/>
      <c r="K419" s="903"/>
      <c r="L419" s="903"/>
      <c r="M419" s="903"/>
      <c r="N419" s="903"/>
      <c r="O419" s="903"/>
      <c r="P419" s="903"/>
      <c r="Q419" s="903"/>
      <c r="R419" s="903"/>
      <c r="S419" s="904">
        <f>S149+S169+S191+S213+S231+S274+S304</f>
        <v>116</v>
      </c>
      <c r="T419" s="904">
        <f>T149+T169+T191+T213+T231+T274+T304</f>
        <v>3</v>
      </c>
      <c r="U419" s="904"/>
      <c r="V419" s="904"/>
      <c r="W419" s="904"/>
      <c r="X419" s="904"/>
      <c r="Y419" s="904"/>
      <c r="Z419" s="904"/>
      <c r="AA419" s="904"/>
      <c r="AB419" s="908">
        <f>AB149+AB169+AB191+AB213+AB231+AB274+AB304</f>
        <v>890432.02275</v>
      </c>
      <c r="AC419" s="908">
        <f t="shared" ref="AC419:AW419" si="536">AC149+AC169+AC191+AC213+AC231+AC274+AC304</f>
        <v>653174.47725</v>
      </c>
      <c r="AD419" s="908">
        <f t="shared" si="536"/>
        <v>1543606.5000000002</v>
      </c>
      <c r="AE419" s="908">
        <f t="shared" si="536"/>
        <v>1543606.5000000002</v>
      </c>
      <c r="AF419" s="908">
        <f t="shared" si="536"/>
        <v>653174.47725</v>
      </c>
      <c r="AG419" s="908">
        <f t="shared" si="536"/>
        <v>797300</v>
      </c>
      <c r="AH419" s="908">
        <f t="shared" si="536"/>
        <v>190308.27525000001</v>
      </c>
      <c r="AI419" s="908">
        <f t="shared" si="536"/>
        <v>556880</v>
      </c>
      <c r="AJ419" s="908">
        <f t="shared" si="536"/>
        <v>19484</v>
      </c>
      <c r="AK419" s="908">
        <f t="shared" si="536"/>
        <v>611372.31000000006</v>
      </c>
      <c r="AL419" s="908">
        <f t="shared" si="536"/>
        <v>22570.774999999998</v>
      </c>
      <c r="AM419" s="908">
        <f t="shared" si="536"/>
        <v>54492.31</v>
      </c>
      <c r="AN419" s="908">
        <f t="shared" si="536"/>
        <v>3086.7750000000001</v>
      </c>
      <c r="AO419" s="908">
        <f t="shared" si="536"/>
        <v>114755.62650000001</v>
      </c>
      <c r="AP419" s="908">
        <f t="shared" si="536"/>
        <v>3912.0612499999997</v>
      </c>
      <c r="AQ419" s="908">
        <f t="shared" si="536"/>
        <v>124914.74999999999</v>
      </c>
      <c r="AR419" s="908">
        <f t="shared" si="536"/>
        <v>12906.5</v>
      </c>
      <c r="AS419" s="908">
        <f t="shared" si="536"/>
        <v>0</v>
      </c>
      <c r="AT419" s="908">
        <f t="shared" si="536"/>
        <v>611372.31000000006</v>
      </c>
      <c r="AU419" s="908">
        <f t="shared" si="536"/>
        <v>22570.774999999998</v>
      </c>
      <c r="AV419" s="908">
        <f t="shared" si="536"/>
        <v>0</v>
      </c>
      <c r="AW419" s="908">
        <f t="shared" si="536"/>
        <v>633943.08500000008</v>
      </c>
    </row>
    <row r="420" spans="1:49" s="906" customFormat="1" ht="26.25">
      <c r="B420" s="903"/>
      <c r="C420" s="903" t="str">
        <f>C305</f>
        <v>СТРУКТУРНІ ПІДРОЗДІЛИ СТАЦІОНАРУ</v>
      </c>
      <c r="D420" s="903"/>
      <c r="E420" s="903"/>
      <c r="F420" s="903"/>
      <c r="G420" s="903"/>
      <c r="H420" s="903"/>
      <c r="I420" s="903"/>
      <c r="J420" s="903"/>
      <c r="K420" s="903"/>
      <c r="L420" s="903"/>
      <c r="M420" s="903"/>
      <c r="N420" s="903"/>
      <c r="O420" s="903"/>
      <c r="P420" s="903"/>
      <c r="Q420" s="903"/>
      <c r="R420" s="903"/>
      <c r="S420" s="907">
        <f>S331</f>
        <v>14</v>
      </c>
      <c r="T420" s="907">
        <f>T331</f>
        <v>0</v>
      </c>
      <c r="U420" s="907"/>
      <c r="V420" s="907"/>
      <c r="W420" s="907"/>
      <c r="X420" s="907"/>
      <c r="Y420" s="907"/>
      <c r="Z420" s="907"/>
      <c r="AA420" s="907"/>
      <c r="AB420" s="908">
        <f>AB331</f>
        <v>95964.15</v>
      </c>
      <c r="AC420" s="908">
        <f t="shared" ref="AC420:AW420" si="537">AC331</f>
        <v>73742.850000000006</v>
      </c>
      <c r="AD420" s="908">
        <f t="shared" si="537"/>
        <v>169707</v>
      </c>
      <c r="AE420" s="908">
        <f t="shared" si="537"/>
        <v>169707</v>
      </c>
      <c r="AF420" s="908">
        <f t="shared" si="537"/>
        <v>73742.850000000006</v>
      </c>
      <c r="AG420" s="908">
        <f t="shared" si="537"/>
        <v>93800</v>
      </c>
      <c r="AH420" s="908">
        <f t="shared" si="537"/>
        <v>23406</v>
      </c>
      <c r="AI420" s="908">
        <f t="shared" si="537"/>
        <v>61015</v>
      </c>
      <c r="AJ420" s="908">
        <f t="shared" si="537"/>
        <v>0</v>
      </c>
      <c r="AK420" s="908">
        <f t="shared" si="537"/>
        <v>61515.5</v>
      </c>
      <c r="AL420" s="908">
        <f t="shared" si="537"/>
        <v>0</v>
      </c>
      <c r="AM420" s="908">
        <f t="shared" si="537"/>
        <v>500.5</v>
      </c>
      <c r="AN420" s="908">
        <f t="shared" si="537"/>
        <v>0</v>
      </c>
      <c r="AO420" s="908">
        <f t="shared" si="537"/>
        <v>10388.65</v>
      </c>
      <c r="AP420" s="908">
        <f t="shared" si="537"/>
        <v>0</v>
      </c>
      <c r="AQ420" s="908">
        <f t="shared" si="537"/>
        <v>23406</v>
      </c>
      <c r="AR420" s="908">
        <f t="shared" si="537"/>
        <v>1707.0000000000002</v>
      </c>
      <c r="AS420" s="908">
        <f t="shared" si="537"/>
        <v>0</v>
      </c>
      <c r="AT420" s="908">
        <f t="shared" si="537"/>
        <v>61515.5</v>
      </c>
      <c r="AU420" s="908">
        <f t="shared" si="537"/>
        <v>0</v>
      </c>
      <c r="AV420" s="908">
        <f t="shared" si="537"/>
        <v>0</v>
      </c>
      <c r="AW420" s="908">
        <f t="shared" si="537"/>
        <v>61515.5</v>
      </c>
    </row>
    <row r="421" spans="1:49" s="906" customFormat="1" ht="26.25">
      <c r="B421" s="903"/>
      <c r="C421" s="903" t="str">
        <f>C332</f>
        <v>ДОПОМІЖНІ ЛІКУВАЛЬНО - ДІАГНОСТИЧНІ ПІДРОЗДІЛИ</v>
      </c>
      <c r="D421" s="903"/>
      <c r="E421" s="903"/>
      <c r="F421" s="903"/>
      <c r="G421" s="903"/>
      <c r="H421" s="903"/>
      <c r="I421" s="903"/>
      <c r="J421" s="903"/>
      <c r="K421" s="903"/>
      <c r="L421" s="903"/>
      <c r="M421" s="903"/>
      <c r="N421" s="903"/>
      <c r="O421" s="903"/>
      <c r="P421" s="903"/>
      <c r="Q421" s="903"/>
      <c r="R421" s="903"/>
      <c r="S421" s="904">
        <f>S349+S360+S378</f>
        <v>23</v>
      </c>
      <c r="T421" s="904">
        <f>T349+T360+T378</f>
        <v>0.5</v>
      </c>
      <c r="U421" s="904"/>
      <c r="V421" s="904"/>
      <c r="W421" s="904"/>
      <c r="X421" s="904"/>
      <c r="Y421" s="904"/>
      <c r="Z421" s="904"/>
      <c r="AA421" s="904"/>
      <c r="AB421" s="908">
        <f>AB349+AB360+AB378</f>
        <v>180906.92300000001</v>
      </c>
      <c r="AC421" s="908">
        <f t="shared" ref="AC421:AW421" si="538">AC349+AC360+AC378</f>
        <v>146175.87700000001</v>
      </c>
      <c r="AD421" s="908">
        <f t="shared" si="538"/>
        <v>327082.8</v>
      </c>
      <c r="AE421" s="908">
        <f t="shared" si="538"/>
        <v>327082.8</v>
      </c>
      <c r="AF421" s="908">
        <f t="shared" si="538"/>
        <v>146175.87700000001</v>
      </c>
      <c r="AG421" s="908">
        <f t="shared" si="538"/>
        <v>157450</v>
      </c>
      <c r="AH421" s="908">
        <f t="shared" si="538"/>
        <v>21289.347999999998</v>
      </c>
      <c r="AI421" s="908">
        <f t="shared" si="538"/>
        <v>116329</v>
      </c>
      <c r="AJ421" s="908">
        <f t="shared" si="538"/>
        <v>3066.5</v>
      </c>
      <c r="AK421" s="908">
        <f t="shared" si="538"/>
        <v>132051.31</v>
      </c>
      <c r="AL421" s="908">
        <f t="shared" si="538"/>
        <v>3526.4749999999999</v>
      </c>
      <c r="AM421" s="908">
        <f t="shared" si="538"/>
        <v>15722.31</v>
      </c>
      <c r="AN421" s="908">
        <f t="shared" si="538"/>
        <v>459.97499999999991</v>
      </c>
      <c r="AO421" s="908">
        <f t="shared" si="538"/>
        <v>34849.993000000002</v>
      </c>
      <c r="AP421" s="908">
        <f t="shared" si="538"/>
        <v>705.29500000000007</v>
      </c>
      <c r="AQ421" s="908">
        <f t="shared" si="538"/>
        <v>9091.0499999999993</v>
      </c>
      <c r="AR421" s="908">
        <f t="shared" si="538"/>
        <v>682.80000000000007</v>
      </c>
      <c r="AS421" s="908">
        <f t="shared" si="538"/>
        <v>0</v>
      </c>
      <c r="AT421" s="908">
        <f t="shared" si="538"/>
        <v>132051.31</v>
      </c>
      <c r="AU421" s="908">
        <f t="shared" si="538"/>
        <v>3526.4749999999999</v>
      </c>
      <c r="AV421" s="908">
        <f t="shared" si="538"/>
        <v>0</v>
      </c>
      <c r="AW421" s="908">
        <f t="shared" si="538"/>
        <v>135577.785</v>
      </c>
    </row>
    <row r="422" spans="1:49" s="906" customFormat="1" ht="26.25">
      <c r="B422" s="903"/>
      <c r="C422" s="903" t="str">
        <f>C379</f>
        <v>ВІДДІЛ З ІНФЕКЦІЙНОГО КОНТРОЛЮ</v>
      </c>
      <c r="D422" s="903"/>
      <c r="E422" s="903"/>
      <c r="F422" s="903"/>
      <c r="G422" s="903"/>
      <c r="H422" s="903"/>
      <c r="I422" s="903"/>
      <c r="J422" s="903"/>
      <c r="K422" s="903"/>
      <c r="L422" s="903"/>
      <c r="M422" s="903"/>
      <c r="N422" s="903"/>
      <c r="O422" s="903"/>
      <c r="P422" s="903"/>
      <c r="Q422" s="903"/>
      <c r="R422" s="903"/>
      <c r="S422" s="904">
        <f>S388</f>
        <v>4</v>
      </c>
      <c r="T422" s="904">
        <f>T388</f>
        <v>0</v>
      </c>
      <c r="U422" s="904"/>
      <c r="V422" s="904"/>
      <c r="W422" s="904"/>
      <c r="X422" s="904"/>
      <c r="Y422" s="904"/>
      <c r="Z422" s="904"/>
      <c r="AA422" s="904"/>
      <c r="AB422" s="908">
        <f>AB388</f>
        <v>28781.599999999999</v>
      </c>
      <c r="AC422" s="908">
        <f t="shared" ref="AC422:AW422" si="539">AC388</f>
        <v>31718.400000000001</v>
      </c>
      <c r="AD422" s="908">
        <f t="shared" si="539"/>
        <v>60500</v>
      </c>
      <c r="AE422" s="908">
        <f t="shared" si="539"/>
        <v>60500</v>
      </c>
      <c r="AF422" s="908">
        <f t="shared" si="539"/>
        <v>31718.400000000001</v>
      </c>
      <c r="AG422" s="908">
        <f t="shared" si="539"/>
        <v>26800</v>
      </c>
      <c r="AH422" s="908">
        <f t="shared" si="539"/>
        <v>4180.6000000000004</v>
      </c>
      <c r="AI422" s="908">
        <f t="shared" si="539"/>
        <v>21552</v>
      </c>
      <c r="AJ422" s="908">
        <f t="shared" si="539"/>
        <v>0</v>
      </c>
      <c r="AK422" s="908">
        <f t="shared" si="539"/>
        <v>21552</v>
      </c>
      <c r="AL422" s="908">
        <f t="shared" si="539"/>
        <v>0</v>
      </c>
      <c r="AM422" s="908">
        <f t="shared" si="539"/>
        <v>0</v>
      </c>
      <c r="AN422" s="908">
        <f t="shared" si="539"/>
        <v>0</v>
      </c>
      <c r="AO422" s="908">
        <f t="shared" si="539"/>
        <v>4886.1000000000004</v>
      </c>
      <c r="AP422" s="908">
        <f t="shared" si="539"/>
        <v>0</v>
      </c>
      <c r="AQ422" s="908">
        <f t="shared" si="539"/>
        <v>2343.5</v>
      </c>
      <c r="AR422" s="908">
        <f t="shared" si="539"/>
        <v>0</v>
      </c>
      <c r="AS422" s="908">
        <f t="shared" si="539"/>
        <v>0</v>
      </c>
      <c r="AT422" s="908">
        <f t="shared" si="539"/>
        <v>21552</v>
      </c>
      <c r="AU422" s="908">
        <f t="shared" si="539"/>
        <v>0</v>
      </c>
      <c r="AV422" s="908">
        <f t="shared" si="539"/>
        <v>0</v>
      </c>
      <c r="AW422" s="908">
        <f t="shared" si="539"/>
        <v>21552</v>
      </c>
    </row>
    <row r="423" spans="1:49" s="906" customFormat="1" ht="26.25">
      <c r="B423" s="903"/>
      <c r="C423" s="903" t="str">
        <f>C389</f>
        <v>ЗАГАЛЬНО - ЛІКАРНЯНИЙ ПЕРСОНАЛ</v>
      </c>
      <c r="D423" s="903"/>
      <c r="E423" s="903"/>
      <c r="F423" s="903"/>
      <c r="G423" s="903"/>
      <c r="H423" s="903"/>
      <c r="I423" s="903"/>
      <c r="J423" s="903"/>
      <c r="K423" s="903"/>
      <c r="L423" s="903"/>
      <c r="M423" s="903"/>
      <c r="N423" s="903"/>
      <c r="O423" s="903"/>
      <c r="P423" s="903"/>
      <c r="Q423" s="903"/>
      <c r="R423" s="903"/>
      <c r="S423" s="904">
        <f>S392</f>
        <v>1.5</v>
      </c>
      <c r="T423" s="904">
        <f>T392</f>
        <v>0</v>
      </c>
      <c r="U423" s="904"/>
      <c r="V423" s="904"/>
      <c r="W423" s="904"/>
      <c r="X423" s="904"/>
      <c r="Y423" s="904"/>
      <c r="Z423" s="904"/>
      <c r="AA423" s="904"/>
      <c r="AB423" s="908">
        <f>AB392</f>
        <v>10050</v>
      </c>
      <c r="AC423" s="908">
        <f t="shared" ref="AC423:AW423" si="540">AC392</f>
        <v>10200</v>
      </c>
      <c r="AD423" s="908">
        <f t="shared" si="540"/>
        <v>20250</v>
      </c>
      <c r="AE423" s="908">
        <f t="shared" si="540"/>
        <v>20250</v>
      </c>
      <c r="AF423" s="908">
        <f t="shared" si="540"/>
        <v>10200</v>
      </c>
      <c r="AG423" s="908">
        <f t="shared" si="540"/>
        <v>10050</v>
      </c>
      <c r="AH423" s="908">
        <f t="shared" si="540"/>
        <v>4356</v>
      </c>
      <c r="AI423" s="908">
        <f t="shared" si="540"/>
        <v>6842.5</v>
      </c>
      <c r="AJ423" s="908">
        <f t="shared" si="540"/>
        <v>0</v>
      </c>
      <c r="AK423" s="908">
        <f t="shared" si="540"/>
        <v>6842.5</v>
      </c>
      <c r="AL423" s="908">
        <f t="shared" si="540"/>
        <v>0</v>
      </c>
      <c r="AM423" s="908">
        <f t="shared" si="540"/>
        <v>0</v>
      </c>
      <c r="AN423" s="908">
        <f t="shared" si="540"/>
        <v>0</v>
      </c>
      <c r="AO423" s="908">
        <f t="shared" si="540"/>
        <v>949</v>
      </c>
      <c r="AP423" s="908">
        <f t="shared" si="540"/>
        <v>0</v>
      </c>
      <c r="AQ423" s="908">
        <f t="shared" si="540"/>
        <v>4356</v>
      </c>
      <c r="AR423" s="908">
        <f t="shared" si="540"/>
        <v>0</v>
      </c>
      <c r="AS423" s="908">
        <f t="shared" si="540"/>
        <v>0</v>
      </c>
      <c r="AT423" s="908">
        <f t="shared" si="540"/>
        <v>6842.5</v>
      </c>
      <c r="AU423" s="908">
        <f t="shared" si="540"/>
        <v>0</v>
      </c>
      <c r="AV423" s="908">
        <f t="shared" si="540"/>
        <v>0</v>
      </c>
      <c r="AW423" s="908">
        <f t="shared" si="540"/>
        <v>6842.5</v>
      </c>
    </row>
    <row r="424" spans="1:49" s="906" customFormat="1" ht="26.25">
      <c r="B424" s="903"/>
      <c r="C424" s="903"/>
      <c r="D424" s="903"/>
      <c r="E424" s="903"/>
      <c r="F424" s="903"/>
      <c r="G424" s="903"/>
      <c r="H424" s="903"/>
      <c r="I424" s="903"/>
      <c r="J424" s="903"/>
      <c r="K424" s="903"/>
      <c r="L424" s="903"/>
      <c r="M424" s="903"/>
      <c r="N424" s="903"/>
      <c r="O424" s="903"/>
      <c r="P424" s="903"/>
      <c r="Q424" s="903"/>
      <c r="R424" s="903"/>
      <c r="S424" s="904">
        <f>SUM(S417:S423)</f>
        <v>233.25</v>
      </c>
      <c r="T424" s="904">
        <f>SUM(T417:T423)</f>
        <v>8</v>
      </c>
      <c r="U424" s="904"/>
      <c r="V424" s="904"/>
      <c r="W424" s="904"/>
      <c r="X424" s="904"/>
      <c r="Y424" s="904"/>
      <c r="Z424" s="904"/>
      <c r="AA424" s="904"/>
      <c r="AB424" s="908">
        <f t="shared" ref="AB424:AW424" si="541">SUM(AB417:AB423)</f>
        <v>1820305.44822125</v>
      </c>
      <c r="AC424" s="908">
        <f t="shared" si="541"/>
        <v>1178334.4659937499</v>
      </c>
      <c r="AD424" s="908">
        <f t="shared" si="541"/>
        <v>2998639.9142149999</v>
      </c>
      <c r="AE424" s="908">
        <f t="shared" si="541"/>
        <v>2998639.9142149999</v>
      </c>
      <c r="AF424" s="908">
        <f t="shared" si="541"/>
        <v>1178334.4659937499</v>
      </c>
      <c r="AG424" s="908">
        <f t="shared" si="541"/>
        <v>1616375</v>
      </c>
      <c r="AH424" s="908">
        <f t="shared" si="541"/>
        <v>406628.33699999994</v>
      </c>
      <c r="AI424" s="908">
        <f t="shared" si="541"/>
        <v>1135370.3187500001</v>
      </c>
      <c r="AJ424" s="908">
        <f t="shared" si="541"/>
        <v>43611</v>
      </c>
      <c r="AK424" s="908">
        <f t="shared" si="541"/>
        <v>1233112.0787125002</v>
      </c>
      <c r="AL424" s="908">
        <f t="shared" si="541"/>
        <v>49488.799999999996</v>
      </c>
      <c r="AM424" s="908">
        <f t="shared" si="541"/>
        <v>97741.7599625</v>
      </c>
      <c r="AN424" s="908">
        <f t="shared" si="541"/>
        <v>5877.8000000000011</v>
      </c>
      <c r="AO424" s="908">
        <f t="shared" si="541"/>
        <v>213698.13700875003</v>
      </c>
      <c r="AP424" s="908">
        <f t="shared" si="541"/>
        <v>5322.6512499999999</v>
      </c>
      <c r="AQ424" s="908">
        <f t="shared" si="541"/>
        <v>305380.78124999994</v>
      </c>
      <c r="AR424" s="908">
        <f t="shared" si="541"/>
        <v>16453.5</v>
      </c>
      <c r="AS424" s="908">
        <f t="shared" si="541"/>
        <v>0</v>
      </c>
      <c r="AT424" s="908">
        <f t="shared" si="541"/>
        <v>1233112.0787125002</v>
      </c>
      <c r="AU424" s="908">
        <f t="shared" si="541"/>
        <v>49488.799999999996</v>
      </c>
      <c r="AV424" s="908">
        <f t="shared" si="541"/>
        <v>0</v>
      </c>
      <c r="AW424" s="908">
        <f t="shared" si="541"/>
        <v>1282600.8787125</v>
      </c>
    </row>
    <row r="425" spans="1:49" s="957" customFormat="1" ht="37.5">
      <c r="A425" s="965">
        <f>B425-S425-T425</f>
        <v>0</v>
      </c>
      <c r="B425" s="952">
        <f ca="1">'штат-розп'!J208</f>
        <v>4</v>
      </c>
      <c r="C425" s="953" t="s">
        <v>2035</v>
      </c>
      <c r="D425" s="954"/>
      <c r="E425" s="954"/>
      <c r="F425" s="954"/>
      <c r="G425" s="954"/>
      <c r="H425" s="954"/>
      <c r="I425" s="954"/>
      <c r="J425" s="954"/>
      <c r="K425" s="954"/>
      <c r="L425" s="954"/>
      <c r="M425" s="954"/>
      <c r="N425" s="954"/>
      <c r="O425" s="954"/>
      <c r="P425" s="954"/>
      <c r="Q425" s="954"/>
      <c r="R425" s="954"/>
      <c r="S425" s="955">
        <f>S12+S13+S14+S15</f>
        <v>4</v>
      </c>
      <c r="T425" s="955">
        <f>T12+T13+T14+T15</f>
        <v>0</v>
      </c>
      <c r="U425" s="955"/>
      <c r="V425" s="955"/>
      <c r="W425" s="955"/>
      <c r="X425" s="955"/>
      <c r="Y425" s="955"/>
      <c r="Z425" s="955"/>
      <c r="AA425" s="955"/>
      <c r="AB425" s="955"/>
      <c r="AC425" s="955"/>
      <c r="AD425" s="955"/>
      <c r="AE425" s="955"/>
      <c r="AF425" s="955"/>
      <c r="AG425" s="955"/>
      <c r="AH425" s="955"/>
      <c r="AI425" s="955"/>
      <c r="AJ425" s="955"/>
      <c r="AK425" s="955"/>
      <c r="AL425" s="955"/>
      <c r="AM425" s="955"/>
      <c r="AN425" s="955"/>
      <c r="AO425" s="955"/>
      <c r="AP425" s="955"/>
      <c r="AQ425" s="955"/>
      <c r="AR425" s="955"/>
      <c r="AS425" s="955"/>
      <c r="AT425" s="956">
        <f>AT12+AT13+AT14+AT15</f>
        <v>55414.9943375</v>
      </c>
      <c r="AU425" s="956">
        <f>AU12+AU13+AU14+AU15</f>
        <v>0</v>
      </c>
      <c r="AV425" s="956">
        <f>AV12+AV13+AV14+AV15</f>
        <v>0</v>
      </c>
      <c r="AW425" s="956">
        <f>AW12+AW13+AW14+AW15</f>
        <v>55414.9943375</v>
      </c>
    </row>
    <row r="426" spans="1:49" s="957" customFormat="1" ht="37.5">
      <c r="A426" s="965">
        <f>B426-S426-T426-S427-T427-S428-T428</f>
        <v>0</v>
      </c>
      <c r="B426" s="952">
        <f ca="1">'штат-розп'!J209</f>
        <v>13</v>
      </c>
      <c r="C426" s="953" t="s">
        <v>1790</v>
      </c>
      <c r="D426" s="954" t="s">
        <v>858</v>
      </c>
      <c r="E426" s="954"/>
      <c r="F426" s="954"/>
      <c r="G426" s="954"/>
      <c r="H426" s="954"/>
      <c r="I426" s="954"/>
      <c r="J426" s="954"/>
      <c r="K426" s="954"/>
      <c r="L426" s="954"/>
      <c r="M426" s="954"/>
      <c r="N426" s="954"/>
      <c r="O426" s="954"/>
      <c r="P426" s="954"/>
      <c r="Q426" s="954"/>
      <c r="R426" s="954"/>
      <c r="S426" s="955">
        <f>S123+S172++S194+S234+S277+S363+S335</f>
        <v>7</v>
      </c>
      <c r="T426" s="955">
        <f>T123+T172++T194+T234+T277+T363+T335</f>
        <v>0</v>
      </c>
      <c r="U426" s="955"/>
      <c r="V426" s="955"/>
      <c r="W426" s="955"/>
      <c r="X426" s="955"/>
      <c r="Y426" s="955"/>
      <c r="Z426" s="955"/>
      <c r="AA426" s="955"/>
      <c r="AB426" s="955"/>
      <c r="AC426" s="955"/>
      <c r="AD426" s="955"/>
      <c r="AE426" s="955"/>
      <c r="AF426" s="955"/>
      <c r="AG426" s="955"/>
      <c r="AH426" s="955"/>
      <c r="AI426" s="955"/>
      <c r="AJ426" s="955"/>
      <c r="AK426" s="955"/>
      <c r="AL426" s="955"/>
      <c r="AM426" s="955"/>
      <c r="AN426" s="955"/>
      <c r="AO426" s="955"/>
      <c r="AP426" s="955"/>
      <c r="AQ426" s="955"/>
      <c r="AR426" s="955"/>
      <c r="AS426" s="955"/>
      <c r="AT426" s="956">
        <f>AT123+AT172++AT194+AT234+AT277+AT363+AT335</f>
        <v>65786.87</v>
      </c>
      <c r="AU426" s="956">
        <f>AU123+AU172++AU194+AU234+AU277+AU363+AU335</f>
        <v>0</v>
      </c>
      <c r="AV426" s="956">
        <f>AV123+AV172++AV194+AV234+AV277+AV363+AV335</f>
        <v>0</v>
      </c>
      <c r="AW426" s="956">
        <f>AW123+AW172++AW194+AW234+AW277+AW363+AW335</f>
        <v>65786.87</v>
      </c>
    </row>
    <row r="427" spans="1:49" s="957" customFormat="1" ht="37.5">
      <c r="A427" s="965"/>
      <c r="B427" s="954"/>
      <c r="C427" s="953" t="s">
        <v>1790</v>
      </c>
      <c r="D427" s="954" t="s">
        <v>655</v>
      </c>
      <c r="E427" s="954"/>
      <c r="F427" s="954"/>
      <c r="G427" s="954"/>
      <c r="H427" s="954"/>
      <c r="I427" s="954"/>
      <c r="J427" s="954"/>
      <c r="K427" s="954"/>
      <c r="L427" s="954"/>
      <c r="M427" s="954"/>
      <c r="N427" s="954"/>
      <c r="O427" s="954"/>
      <c r="P427" s="954"/>
      <c r="Q427" s="954"/>
      <c r="R427" s="954"/>
      <c r="S427" s="955">
        <f>S16</f>
        <v>1</v>
      </c>
      <c r="T427" s="955">
        <f>T16</f>
        <v>0</v>
      </c>
      <c r="U427" s="955"/>
      <c r="V427" s="955"/>
      <c r="W427" s="955"/>
      <c r="X427" s="955"/>
      <c r="Y427" s="955"/>
      <c r="Z427" s="955"/>
      <c r="AA427" s="955"/>
      <c r="AB427" s="955"/>
      <c r="AC427" s="955"/>
      <c r="AD427" s="955"/>
      <c r="AE427" s="955"/>
      <c r="AF427" s="955"/>
      <c r="AG427" s="955"/>
      <c r="AH427" s="955"/>
      <c r="AI427" s="955"/>
      <c r="AJ427" s="955"/>
      <c r="AK427" s="955"/>
      <c r="AL427" s="955"/>
      <c r="AM427" s="955"/>
      <c r="AN427" s="955"/>
      <c r="AO427" s="955"/>
      <c r="AP427" s="955"/>
      <c r="AQ427" s="955"/>
      <c r="AR427" s="955"/>
      <c r="AS427" s="955"/>
      <c r="AT427" s="956">
        <f>AT16</f>
        <v>7372.5690000000004</v>
      </c>
      <c r="AU427" s="956">
        <f>AU16</f>
        <v>0</v>
      </c>
      <c r="AV427" s="956">
        <f>AV16</f>
        <v>0</v>
      </c>
      <c r="AW427" s="956">
        <f>AW16</f>
        <v>7372.5690000000004</v>
      </c>
    </row>
    <row r="428" spans="1:49" s="957" customFormat="1" ht="37.5">
      <c r="A428" s="965"/>
      <c r="B428" s="954"/>
      <c r="C428" s="953" t="s">
        <v>1790</v>
      </c>
      <c r="D428" s="954" t="s">
        <v>859</v>
      </c>
      <c r="E428" s="954"/>
      <c r="F428" s="954"/>
      <c r="G428" s="954"/>
      <c r="H428" s="954"/>
      <c r="I428" s="954"/>
      <c r="J428" s="954"/>
      <c r="K428" s="954"/>
      <c r="L428" s="954"/>
      <c r="M428" s="954"/>
      <c r="N428" s="954"/>
      <c r="O428" s="954"/>
      <c r="P428" s="954"/>
      <c r="Q428" s="954"/>
      <c r="R428" s="954"/>
      <c r="S428" s="955">
        <f>S20+S21+S42+S44+S45</f>
        <v>5</v>
      </c>
      <c r="T428" s="955">
        <f>T20+T21+T42+T44+T45</f>
        <v>0</v>
      </c>
      <c r="U428" s="955"/>
      <c r="V428" s="955"/>
      <c r="W428" s="955"/>
      <c r="X428" s="955"/>
      <c r="Y428" s="955"/>
      <c r="Z428" s="955"/>
      <c r="AA428" s="955"/>
      <c r="AB428" s="955"/>
      <c r="AC428" s="955"/>
      <c r="AD428" s="955"/>
      <c r="AE428" s="955"/>
      <c r="AF428" s="955"/>
      <c r="AG428" s="955"/>
      <c r="AH428" s="955"/>
      <c r="AI428" s="955"/>
      <c r="AJ428" s="955"/>
      <c r="AK428" s="955"/>
      <c r="AL428" s="955"/>
      <c r="AM428" s="955"/>
      <c r="AN428" s="955"/>
      <c r="AO428" s="955"/>
      <c r="AP428" s="955"/>
      <c r="AQ428" s="955"/>
      <c r="AR428" s="955"/>
      <c r="AS428" s="955"/>
      <c r="AT428" s="956">
        <f>AT20+AT21+AT42+AT44+AT45</f>
        <v>36938.070375000003</v>
      </c>
      <c r="AU428" s="956">
        <f>AU20+AU21+AU42+AU44+AU45</f>
        <v>0</v>
      </c>
      <c r="AV428" s="956">
        <f>AV20+AV21+AV42+AV44+AV45</f>
        <v>0</v>
      </c>
      <c r="AW428" s="956">
        <f>AW20+AW21+AW42+AW44+AW45</f>
        <v>36938.070375000003</v>
      </c>
    </row>
    <row r="429" spans="1:49" s="957" customFormat="1" ht="37.5">
      <c r="A429" s="965">
        <f>B429-S429-T429</f>
        <v>0</v>
      </c>
      <c r="B429" s="952">
        <f ca="1">'штат-розп'!J210</f>
        <v>40.75</v>
      </c>
      <c r="C429" s="953" t="s">
        <v>1904</v>
      </c>
      <c r="D429" s="954"/>
      <c r="E429" s="954"/>
      <c r="F429" s="954"/>
      <c r="G429" s="954"/>
      <c r="H429" s="954"/>
      <c r="I429" s="954"/>
      <c r="J429" s="954"/>
      <c r="K429" s="954"/>
      <c r="L429" s="954"/>
      <c r="M429" s="954"/>
      <c r="N429" s="954"/>
      <c r="O429" s="954"/>
      <c r="P429" s="954"/>
      <c r="Q429" s="954"/>
      <c r="R429" s="954"/>
      <c r="S429" s="955">
        <f>S105+S129+S153+S174+S196+S218+S245+S284+S310+S337+S353+S364+S382-S426</f>
        <v>36.25</v>
      </c>
      <c r="T429" s="955">
        <f>T105+T129+T153+T174+T196+T218+T245+T284+T310+T337+T353+T364+T382-T426</f>
        <v>4.5</v>
      </c>
      <c r="U429" s="955"/>
      <c r="V429" s="955"/>
      <c r="W429" s="955"/>
      <c r="X429" s="955"/>
      <c r="Y429" s="955"/>
      <c r="Z429" s="955"/>
      <c r="AA429" s="955"/>
      <c r="AB429" s="955"/>
      <c r="AC429" s="955"/>
      <c r="AD429" s="955"/>
      <c r="AE429" s="955"/>
      <c r="AF429" s="955"/>
      <c r="AG429" s="955"/>
      <c r="AH429" s="955"/>
      <c r="AI429" s="955"/>
      <c r="AJ429" s="955"/>
      <c r="AK429" s="955"/>
      <c r="AL429" s="955"/>
      <c r="AM429" s="955"/>
      <c r="AN429" s="955"/>
      <c r="AO429" s="955"/>
      <c r="AP429" s="955"/>
      <c r="AQ429" s="955"/>
      <c r="AR429" s="955"/>
      <c r="AS429" s="955"/>
      <c r="AT429" s="956">
        <f>AT105+AT129+AT153+AT174+AT196+AT218+AT245+AT284+AT310+AT337+AT353+AT364+AT382-AT426</f>
        <v>253406.60000000003</v>
      </c>
      <c r="AU429" s="956">
        <f>AU105+AU129+AU153+AU174+AU196+AU218+AU245+AU284+AU310+AU337+AU353+AU364+AU382-AU426</f>
        <v>33728.1</v>
      </c>
      <c r="AV429" s="956">
        <f>AV105+AV129+AV153+AV174+AV196+AV218+AV245+AV284+AV310+AV337+AV353+AV364+AV382-AV426</f>
        <v>0</v>
      </c>
      <c r="AW429" s="956">
        <f>AW105+AW129+AW153+AW174+AW196+AW218+AW245+AW284+AW310+AW337+AW353+AW364+AW382-AW426</f>
        <v>287134.7</v>
      </c>
    </row>
    <row r="430" spans="1:49" s="957" customFormat="1" ht="37.5">
      <c r="A430" s="965">
        <f>B430-S430-T430</f>
        <v>0</v>
      </c>
      <c r="B430" s="952">
        <f ca="1">'штат-розп'!J211</f>
        <v>98</v>
      </c>
      <c r="C430" s="953" t="s">
        <v>1988</v>
      </c>
      <c r="D430" s="954"/>
      <c r="E430" s="954"/>
      <c r="F430" s="954"/>
      <c r="G430" s="954"/>
      <c r="H430" s="954"/>
      <c r="I430" s="954"/>
      <c r="J430" s="954"/>
      <c r="K430" s="954"/>
      <c r="L430" s="954"/>
      <c r="M430" s="954"/>
      <c r="N430" s="954"/>
      <c r="O430" s="954"/>
      <c r="P430" s="954"/>
      <c r="Q430" s="954"/>
      <c r="R430" s="954"/>
      <c r="S430" s="958">
        <f>S30+S118+S141+S161+S183+S205+S226+S254+S260+S296+S318+S330+S345+S359+S374+S387+S392</f>
        <v>98</v>
      </c>
      <c r="T430" s="958">
        <f>T30+T118+T141+T161+T183+T205+T226+T254+T260+T296+T318+T330+T345+T359+T374+T387+T392</f>
        <v>0</v>
      </c>
      <c r="U430" s="958"/>
      <c r="V430" s="958"/>
      <c r="W430" s="958"/>
      <c r="X430" s="958"/>
      <c r="Y430" s="958"/>
      <c r="Z430" s="958"/>
      <c r="AA430" s="958"/>
      <c r="AB430" s="958"/>
      <c r="AC430" s="958"/>
      <c r="AD430" s="958"/>
      <c r="AE430" s="958"/>
      <c r="AF430" s="958"/>
      <c r="AG430" s="958"/>
      <c r="AH430" s="958"/>
      <c r="AI430" s="958"/>
      <c r="AJ430" s="958"/>
      <c r="AK430" s="958"/>
      <c r="AL430" s="958"/>
      <c r="AM430" s="958"/>
      <c r="AN430" s="958"/>
      <c r="AO430" s="958"/>
      <c r="AP430" s="958"/>
      <c r="AQ430" s="958"/>
      <c r="AR430" s="958"/>
      <c r="AS430" s="958"/>
      <c r="AT430" s="956">
        <f>AT30+AT118+AT141+AT161+AT183+AT205+AT226+AT254+AT260+AT296+AT318+AT330+AT345+AT359+AT374+AT387+AT392</f>
        <v>515131.07500000001</v>
      </c>
      <c r="AU430" s="956">
        <f>AU30+AU118+AU141+AU161+AU183+AU205+AU226+AU254+AU260+AU296+AU318+AU330+AU345+AU359+AU374+AU387+AU392</f>
        <v>0</v>
      </c>
      <c r="AV430" s="956">
        <f>AV30+AV118+AV141+AV161+AV183+AV205+AV226+AV254+AV260+AV296+AV318+AV330+AV345+AV359+AV374+AV387+AV392</f>
        <v>0</v>
      </c>
      <c r="AW430" s="956">
        <f>AW30+AW118+AW141+AW161+AW183+AW205+AW226+AW254+AW260+AW296+AW318+AW330+AW345+AW359+AW374+AW387+AW392</f>
        <v>515131.07500000001</v>
      </c>
    </row>
    <row r="431" spans="1:49" s="957" customFormat="1" ht="37.5">
      <c r="A431" s="965">
        <f>B431-S431-T431</f>
        <v>0</v>
      </c>
      <c r="B431" s="952">
        <f ca="1">'штат-розп'!J212</f>
        <v>43</v>
      </c>
      <c r="C431" s="953" t="s">
        <v>1989</v>
      </c>
      <c r="D431" s="954"/>
      <c r="E431" s="954"/>
      <c r="F431" s="954"/>
      <c r="G431" s="954"/>
      <c r="H431" s="954"/>
      <c r="I431" s="954"/>
      <c r="J431" s="954"/>
      <c r="K431" s="954"/>
      <c r="L431" s="954"/>
      <c r="M431" s="954"/>
      <c r="N431" s="954"/>
      <c r="O431" s="954"/>
      <c r="P431" s="954"/>
      <c r="Q431" s="954"/>
      <c r="R431" s="954"/>
      <c r="S431" s="955">
        <f>S148+S168+S190+S212+S230+S267+S273+S303+S325+S348+S377</f>
        <v>43</v>
      </c>
      <c r="T431" s="955">
        <f>T148+T168+T190+T212+T230+T267+T273+T303+T325+T348+T377</f>
        <v>0</v>
      </c>
      <c r="U431" s="955"/>
      <c r="V431" s="955"/>
      <c r="W431" s="955"/>
      <c r="X431" s="955"/>
      <c r="Y431" s="955"/>
      <c r="Z431" s="955"/>
      <c r="AA431" s="955"/>
      <c r="AB431" s="955"/>
      <c r="AC431" s="955"/>
      <c r="AD431" s="955"/>
      <c r="AE431" s="955"/>
      <c r="AF431" s="955"/>
      <c r="AG431" s="955"/>
      <c r="AH431" s="955"/>
      <c r="AI431" s="955"/>
      <c r="AJ431" s="955"/>
      <c r="AK431" s="955"/>
      <c r="AL431" s="955"/>
      <c r="AM431" s="955"/>
      <c r="AN431" s="955"/>
      <c r="AO431" s="955"/>
      <c r="AP431" s="955"/>
      <c r="AQ431" s="955"/>
      <c r="AR431" s="955"/>
      <c r="AS431" s="955"/>
      <c r="AT431" s="956">
        <f>AT148+AT168+AT190+AT212+AT230+AT267+AT273+AT303+AT325+AT348+AT377</f>
        <v>152963</v>
      </c>
      <c r="AU431" s="956">
        <f>AU148+AU168+AU190+AU212+AU230+AU267+AU273+AU303+AU325+AU348+AU377</f>
        <v>0</v>
      </c>
      <c r="AV431" s="956">
        <f>AV148+AV168+AV190+AV212+AV230+AV267+AV273+AV303+AV325+AV348+AV377</f>
        <v>0</v>
      </c>
      <c r="AW431" s="956">
        <f>AW148+AW168+AW190+AW212+AW230+AW267+AW273+AW303+AW325+AW348+AW377</f>
        <v>152963</v>
      </c>
    </row>
    <row r="432" spans="1:49" s="957" customFormat="1" ht="37.5">
      <c r="A432" s="965">
        <f>B432-S432-T432</f>
        <v>0</v>
      </c>
      <c r="B432" s="952">
        <f ca="1">'штат-розп'!J213</f>
        <v>42.5</v>
      </c>
      <c r="C432" s="953" t="s">
        <v>1791</v>
      </c>
      <c r="D432" s="954"/>
      <c r="E432" s="954"/>
      <c r="F432" s="954"/>
      <c r="G432" s="954"/>
      <c r="H432" s="954"/>
      <c r="I432" s="954"/>
      <c r="J432" s="954"/>
      <c r="K432" s="954"/>
      <c r="L432" s="954"/>
      <c r="M432" s="954"/>
      <c r="N432" s="954"/>
      <c r="O432" s="954"/>
      <c r="P432" s="954"/>
      <c r="Q432" s="954"/>
      <c r="R432" s="954"/>
      <c r="S432" s="955">
        <f>S17+S22+S23+S24+S25+S26+S29+S31+S40+S47+S48+S49+S50+S51+S52+S54+S55+S56+S57+S59+S60+S61+S62+S63+S64+S65+S67+S68+S69+S70+S71+S72+S74+S75+S76+S77+S78+S79+S80+S81+S82+S83</f>
        <v>39</v>
      </c>
      <c r="T432" s="955">
        <f>T17+T22+T23+T24+T25+T26+T29+T31+T40+T47+T48+T49+T50+T51+T52+T54+T55+T56+T57+T59+T60+T61+T62+T63+T64+T65+T67+T68+T69+T70+T71+T72+T74+T75+T76+T77+T78+T79+T80+T81+T82+T83</f>
        <v>3.5</v>
      </c>
      <c r="U432" s="955"/>
      <c r="V432" s="955"/>
      <c r="W432" s="955"/>
      <c r="X432" s="955"/>
      <c r="Y432" s="955"/>
      <c r="Z432" s="955"/>
      <c r="AA432" s="955"/>
      <c r="AB432" s="955"/>
      <c r="AC432" s="955"/>
      <c r="AD432" s="955"/>
      <c r="AE432" s="955"/>
      <c r="AF432" s="955"/>
      <c r="AG432" s="955"/>
      <c r="AH432" s="955"/>
      <c r="AI432" s="955"/>
      <c r="AJ432" s="955"/>
      <c r="AK432" s="955"/>
      <c r="AL432" s="955"/>
      <c r="AM432" s="955"/>
      <c r="AN432" s="955"/>
      <c r="AO432" s="955"/>
      <c r="AP432" s="955"/>
      <c r="AQ432" s="955"/>
      <c r="AR432" s="955"/>
      <c r="AS432" s="955"/>
      <c r="AT432" s="956">
        <f>AT17+AT22+AT23+AT24+AT25+AT26+AT29+AT31+AT40+AT47+AT48+AT49+AT50+AT51+AT52+AT54+AT55+AT56+AT57+AT59+AT60+AT61+AT62+AT63+AT64+AT65+AT67+AT68+AT69+AT70+AT71+AT72+AT74+AT75+AT76+AT77+AT78+AT79+AT80+AT81+AT82+AT83</f>
        <v>146098.90000000002</v>
      </c>
      <c r="AU432" s="956">
        <f>AU17+AU22+AU23+AU24+AU25+AU26+AU29+AU31+AU40+AU47+AU48+AU49+AU50+AU51+AU52+AU54+AU55+AU56+AU57+AU59+AU60+AU61+AU62+AU63+AU64+AU65+AU67+AU68+AU69+AU70+AU71+AU72+AU74+AU75+AU76+AU77+AU78+AU79+AU80+AU81+AU82+AU83</f>
        <v>15760.699999999999</v>
      </c>
      <c r="AV432" s="956">
        <f>AV17+AV22+AV23+AV24+AV25+AV26+AV29+AV31+AV40+AV47+AV48+AV49+AV50+AV51+AV52+AV54+AV55+AV56+AV57+AV59+AV60+AV61+AV62+AV63+AV64+AV65+AV67+AV68+AV69+AV70+AV71+AV72+AV74+AV75+AV76+AV77+AV78+AV79+AV80+AV81+AV82+AV83</f>
        <v>0</v>
      </c>
      <c r="AW432" s="956">
        <f>AW17+AW22+AW23+AW24+AW25+AW26+AW29+AW31+AW40+AW47+AW48+AW49+AW50+AW51+AW52+AW54+AW55+AW56+AW57+AW59+AW60+AW61+AW62+AW63+AW64+AW65+AW67+AW68+AW69+AW70+AW71+AW72+AW74+AW75+AW76+AW77+AW78+AW79+AW80+AW81+AW82+AW83</f>
        <v>161859.6</v>
      </c>
    </row>
    <row r="433" spans="2:49" s="957" customFormat="1" ht="37.5">
      <c r="B433" s="954"/>
      <c r="C433" s="954"/>
      <c r="D433" s="954"/>
      <c r="E433" s="954"/>
      <c r="F433" s="954"/>
      <c r="G433" s="954"/>
      <c r="H433" s="954"/>
      <c r="I433" s="954"/>
      <c r="J433" s="954"/>
      <c r="K433" s="954"/>
      <c r="L433" s="954"/>
      <c r="M433" s="954"/>
      <c r="N433" s="954"/>
      <c r="O433" s="954"/>
      <c r="P433" s="954"/>
      <c r="Q433" s="954"/>
      <c r="R433" s="954"/>
      <c r="S433" s="955">
        <f>SUM(S425:S432)</f>
        <v>233.25</v>
      </c>
      <c r="T433" s="955">
        <f>SUM(T425:T432)</f>
        <v>8</v>
      </c>
      <c r="U433" s="955"/>
      <c r="V433" s="955"/>
      <c r="W433" s="955"/>
      <c r="X433" s="955"/>
      <c r="Y433" s="955"/>
      <c r="Z433" s="955"/>
      <c r="AA433" s="955"/>
      <c r="AB433" s="955"/>
      <c r="AC433" s="955"/>
      <c r="AD433" s="955"/>
      <c r="AE433" s="955"/>
      <c r="AF433" s="955"/>
      <c r="AG433" s="955"/>
      <c r="AH433" s="955"/>
      <c r="AI433" s="955"/>
      <c r="AJ433" s="955"/>
      <c r="AK433" s="955"/>
      <c r="AL433" s="955"/>
      <c r="AM433" s="955"/>
      <c r="AN433" s="955"/>
      <c r="AO433" s="955"/>
      <c r="AP433" s="955"/>
      <c r="AQ433" s="955"/>
      <c r="AR433" s="955"/>
      <c r="AS433" s="955"/>
      <c r="AT433" s="956">
        <f>SUM(AT425:AT432)</f>
        <v>1233112.0787125002</v>
      </c>
      <c r="AU433" s="956">
        <f>SUM(AU425:AU432)</f>
        <v>49488.799999999996</v>
      </c>
      <c r="AV433" s="956">
        <f>SUM(AV425:AV432)</f>
        <v>0</v>
      </c>
      <c r="AW433" s="956">
        <f>SUM(AW425:AW432)</f>
        <v>1282600.8787125002</v>
      </c>
    </row>
    <row r="434" spans="2:49" s="964" customFormat="1" ht="61.5" customHeight="1">
      <c r="B434" s="909"/>
      <c r="C434" s="910"/>
      <c r="D434" s="909"/>
      <c r="E434" s="909"/>
      <c r="F434" s="909"/>
      <c r="G434" s="909"/>
      <c r="H434" s="909"/>
      <c r="I434" s="909"/>
      <c r="J434" s="909"/>
      <c r="K434" s="909"/>
      <c r="L434" s="909"/>
      <c r="M434" s="909"/>
      <c r="N434" s="909"/>
      <c r="O434" s="909"/>
      <c r="P434" s="909"/>
      <c r="Q434" s="909"/>
      <c r="R434" s="909"/>
      <c r="S434" s="959">
        <f>S433+T433</f>
        <v>241.25</v>
      </c>
      <c r="T434" s="959"/>
      <c r="U434" s="909"/>
      <c r="V434" s="909"/>
      <c r="W434" s="909"/>
      <c r="X434" s="909"/>
      <c r="Y434" s="909"/>
      <c r="Z434" s="909"/>
      <c r="AA434" s="909"/>
      <c r="AB434" s="909"/>
      <c r="AC434" s="960"/>
      <c r="AD434" s="960"/>
      <c r="AE434" s="909"/>
      <c r="AF434" s="909"/>
      <c r="AG434" s="961"/>
      <c r="AH434" s="909"/>
      <c r="AI434" s="962"/>
      <c r="AJ434" s="963"/>
      <c r="AK434" s="963"/>
      <c r="AL434" s="963"/>
      <c r="AM434" s="963"/>
      <c r="AN434" s="963"/>
      <c r="AO434" s="962"/>
      <c r="AP434" s="962"/>
      <c r="AQ434" s="962"/>
      <c r="AR434" s="962"/>
      <c r="AS434" s="962"/>
      <c r="AT434" s="962"/>
      <c r="AU434" s="963"/>
      <c r="AV434" s="963"/>
      <c r="AW434" s="963"/>
    </row>
    <row r="435" spans="2:49" s="196" customFormat="1" ht="50.1" customHeight="1">
      <c r="B435" s="911"/>
      <c r="C435" s="912" t="s">
        <v>1642</v>
      </c>
      <c r="D435" s="913"/>
      <c r="E435" s="914" t="s">
        <v>1743</v>
      </c>
      <c r="F435" s="899"/>
      <c r="G435" s="899"/>
      <c r="H435" s="899"/>
      <c r="I435" s="899"/>
      <c r="J435" s="779"/>
      <c r="K435" s="899"/>
      <c r="L435" s="898"/>
      <c r="M435" s="898"/>
      <c r="N435" s="898"/>
      <c r="O435" s="898"/>
      <c r="P435" s="898"/>
      <c r="Q435" s="898"/>
      <c r="R435" s="898"/>
      <c r="S435" s="898"/>
      <c r="T435" s="898"/>
      <c r="U435" s="898"/>
      <c r="V435" s="898"/>
      <c r="W435" s="898"/>
      <c r="X435" s="898"/>
      <c r="Y435" s="898"/>
      <c r="Z435" s="898"/>
      <c r="AA435" s="898"/>
      <c r="AB435" s="898"/>
      <c r="AC435" s="936"/>
      <c r="AD435" s="936"/>
      <c r="AE435" s="937"/>
      <c r="AF435" s="937"/>
      <c r="AG435" s="938"/>
      <c r="AH435" s="937"/>
      <c r="AI435" s="949"/>
      <c r="AJ435" s="949"/>
      <c r="AK435" s="949"/>
      <c r="AL435" s="949"/>
      <c r="AM435" s="949"/>
      <c r="AN435" s="949"/>
      <c r="AO435" s="948"/>
      <c r="AP435" s="948"/>
      <c r="AQ435" s="948"/>
      <c r="AR435" s="948"/>
      <c r="AS435" s="948"/>
      <c r="AT435" s="949"/>
      <c r="AU435" s="949"/>
      <c r="AV435" s="949"/>
      <c r="AW435" s="949"/>
    </row>
    <row r="436" spans="2:49" s="196" customFormat="1" ht="50.1" customHeight="1">
      <c r="B436" s="911"/>
      <c r="C436" s="912" t="s">
        <v>1539</v>
      </c>
      <c r="D436" s="913"/>
      <c r="E436" s="914" t="s">
        <v>606</v>
      </c>
      <c r="F436" s="899"/>
      <c r="G436" s="899"/>
      <c r="H436" s="899"/>
      <c r="I436" s="899"/>
      <c r="J436" s="777"/>
      <c r="K436" s="899"/>
      <c r="L436" s="898"/>
      <c r="M436" s="898"/>
      <c r="N436" s="900"/>
      <c r="O436" s="900"/>
      <c r="P436" s="900"/>
      <c r="Q436" s="900"/>
      <c r="R436" s="900"/>
      <c r="S436" s="900"/>
      <c r="T436" s="900"/>
      <c r="U436" s="900"/>
      <c r="V436" s="900"/>
      <c r="W436" s="900"/>
      <c r="X436" s="898"/>
      <c r="Y436" s="898"/>
      <c r="Z436" s="898"/>
      <c r="AA436" s="898"/>
      <c r="AB436" s="898"/>
      <c r="AC436" s="936"/>
      <c r="AD436" s="936"/>
      <c r="AE436" s="937"/>
      <c r="AF436" s="937"/>
      <c r="AG436" s="938"/>
      <c r="AH436" s="937"/>
      <c r="AI436" s="950"/>
      <c r="AJ436" s="950"/>
      <c r="AK436" s="950"/>
      <c r="AL436" s="950"/>
      <c r="AM436" s="950"/>
      <c r="AN436" s="950"/>
      <c r="AO436" s="948"/>
      <c r="AP436" s="948"/>
      <c r="AQ436" s="948"/>
      <c r="AR436" s="948"/>
      <c r="AS436" s="948"/>
      <c r="AT436" s="950"/>
      <c r="AU436" s="950"/>
      <c r="AV436" s="950"/>
      <c r="AW436" s="951"/>
    </row>
    <row r="437" spans="2:49" s="196" customFormat="1" ht="50.1" customHeight="1">
      <c r="B437" s="911"/>
      <c r="C437" s="912"/>
      <c r="D437" s="915"/>
      <c r="E437" s="916"/>
      <c r="F437" s="899"/>
      <c r="G437" s="899"/>
      <c r="H437" s="899"/>
      <c r="I437" s="899"/>
      <c r="J437" s="779"/>
      <c r="K437" s="899"/>
      <c r="L437" s="898"/>
      <c r="M437" s="898"/>
      <c r="N437" s="899"/>
      <c r="O437" s="899"/>
      <c r="P437" s="901"/>
      <c r="Q437" s="777"/>
      <c r="R437" s="899"/>
      <c r="S437" s="899"/>
      <c r="T437" s="901"/>
      <c r="U437" s="777"/>
      <c r="V437" s="899"/>
      <c r="W437" s="898"/>
      <c r="X437" s="898"/>
      <c r="Y437" s="898"/>
      <c r="Z437" s="898"/>
      <c r="AA437" s="898"/>
      <c r="AB437" s="898"/>
      <c r="AC437" s="936"/>
      <c r="AD437" s="936"/>
      <c r="AE437" s="937"/>
      <c r="AF437" s="937"/>
      <c r="AG437" s="938"/>
      <c r="AH437" s="937"/>
      <c r="AI437" s="939"/>
      <c r="AJ437" s="939"/>
      <c r="AK437" s="939"/>
      <c r="AL437" s="939"/>
      <c r="AM437" s="939"/>
      <c r="AN437" s="939"/>
      <c r="AO437" s="939"/>
      <c r="AP437" s="939"/>
      <c r="AQ437" s="939"/>
      <c r="AR437" s="939"/>
      <c r="AS437" s="939"/>
      <c r="AT437" s="939"/>
      <c r="AU437" s="939"/>
      <c r="AV437" s="939"/>
      <c r="AW437" s="939"/>
    </row>
    <row r="438" spans="2:49" s="196" customFormat="1" ht="50.1" customHeight="1">
      <c r="B438" s="911"/>
      <c r="C438" s="912" t="s">
        <v>1540</v>
      </c>
      <c r="D438" s="913"/>
      <c r="E438" s="914" t="s">
        <v>607</v>
      </c>
      <c r="F438" s="899"/>
      <c r="G438" s="899"/>
      <c r="H438" s="899"/>
      <c r="I438" s="901"/>
      <c r="J438" s="777"/>
      <c r="K438" s="899"/>
      <c r="L438" s="898"/>
      <c r="M438" s="898"/>
      <c r="N438" s="899"/>
      <c r="O438" s="899"/>
      <c r="P438" s="901"/>
      <c r="Q438" s="779"/>
      <c r="R438" s="899"/>
      <c r="S438" s="899"/>
      <c r="T438" s="901"/>
      <c r="U438" s="779"/>
      <c r="V438" s="899"/>
      <c r="W438" s="898"/>
      <c r="X438" s="898"/>
      <c r="Y438" s="898"/>
      <c r="Z438" s="898"/>
      <c r="AA438" s="898"/>
      <c r="AB438" s="898"/>
      <c r="AC438" s="936"/>
      <c r="AD438" s="936"/>
      <c r="AE438" s="937"/>
      <c r="AF438" s="937"/>
      <c r="AG438" s="938"/>
      <c r="AH438" s="937"/>
      <c r="AI438" s="940"/>
      <c r="AJ438" s="940"/>
      <c r="AK438" s="940"/>
      <c r="AL438" s="940"/>
      <c r="AM438" s="940"/>
      <c r="AN438" s="940"/>
      <c r="AO438" s="940"/>
      <c r="AP438" s="940"/>
      <c r="AQ438" s="940"/>
      <c r="AR438" s="940"/>
      <c r="AS438" s="940"/>
      <c r="AT438" s="940"/>
      <c r="AU438" s="940"/>
      <c r="AV438" s="940"/>
      <c r="AW438" s="941"/>
    </row>
    <row r="439" spans="2:49" s="196" customFormat="1" ht="50.1" customHeight="1">
      <c r="B439" s="917"/>
      <c r="C439" s="918"/>
      <c r="D439" s="919"/>
      <c r="E439" s="920" t="s">
        <v>608</v>
      </c>
      <c r="F439" s="776"/>
      <c r="G439" s="776"/>
      <c r="H439" s="776"/>
      <c r="I439" s="733"/>
      <c r="J439" s="777"/>
      <c r="K439" s="776"/>
      <c r="L439" s="775"/>
      <c r="M439" s="775"/>
      <c r="N439" s="776"/>
      <c r="O439" s="776"/>
      <c r="P439" s="733"/>
      <c r="Q439" s="778"/>
      <c r="R439" s="776"/>
      <c r="S439" s="776"/>
      <c r="T439" s="733"/>
      <c r="U439" s="778"/>
      <c r="V439" s="776"/>
      <c r="W439" s="775"/>
      <c r="X439" s="775"/>
      <c r="Y439" s="775"/>
      <c r="Z439" s="775"/>
      <c r="AA439" s="775"/>
      <c r="AB439" s="775"/>
      <c r="AC439" s="756"/>
      <c r="AD439" s="757"/>
      <c r="AE439" s="755"/>
      <c r="AF439" s="755"/>
      <c r="AG439" s="758"/>
      <c r="AH439" s="755"/>
      <c r="AI439" s="759"/>
      <c r="AJ439" s="759"/>
      <c r="AK439" s="759"/>
      <c r="AL439" s="759"/>
      <c r="AM439" s="759"/>
      <c r="AN439" s="759"/>
      <c r="AO439" s="759"/>
      <c r="AP439" s="759"/>
      <c r="AQ439" s="759"/>
      <c r="AR439" s="759"/>
      <c r="AS439" s="759"/>
      <c r="AT439" s="759"/>
      <c r="AU439" s="759"/>
      <c r="AV439" s="759"/>
      <c r="AW439" s="759"/>
    </row>
    <row r="440" spans="2:49" s="196" customFormat="1" ht="50.1" customHeight="1">
      <c r="B440" s="917"/>
      <c r="C440" s="918"/>
      <c r="D440" s="919"/>
      <c r="E440" s="920" t="s">
        <v>609</v>
      </c>
      <c r="F440" s="776"/>
      <c r="G440" s="776"/>
      <c r="H440" s="776"/>
      <c r="I440" s="733"/>
      <c r="J440" s="779"/>
      <c r="K440" s="776"/>
      <c r="L440" s="775"/>
      <c r="M440" s="775"/>
      <c r="N440" s="776"/>
      <c r="O440" s="776"/>
      <c r="P440" s="733"/>
      <c r="Q440" s="779"/>
      <c r="R440" s="776"/>
      <c r="S440" s="776"/>
      <c r="T440" s="733"/>
      <c r="U440" s="779"/>
      <c r="V440" s="776"/>
      <c r="W440" s="775"/>
      <c r="X440" s="775"/>
      <c r="Y440" s="775"/>
      <c r="Z440" s="775"/>
      <c r="AA440" s="775"/>
      <c r="AB440" s="775"/>
      <c r="AC440" s="757"/>
      <c r="AD440" s="757"/>
      <c r="AE440" s="755"/>
      <c r="AF440" s="755"/>
      <c r="AG440" s="758"/>
      <c r="AH440" s="755"/>
      <c r="AI440" s="759"/>
      <c r="AJ440" s="759"/>
      <c r="AK440" s="759"/>
      <c r="AL440" s="759"/>
      <c r="AM440" s="759"/>
      <c r="AN440" s="759"/>
      <c r="AO440" s="759"/>
      <c r="AP440" s="759"/>
      <c r="AQ440" s="759"/>
      <c r="AR440" s="759"/>
      <c r="AS440" s="759"/>
      <c r="AT440" s="760"/>
      <c r="AU440" s="760"/>
      <c r="AV440" s="759"/>
      <c r="AW440" s="759"/>
    </row>
    <row r="441" spans="2:49" s="198" customFormat="1" ht="50.1" customHeight="1">
      <c r="B441" s="917"/>
      <c r="C441" s="918"/>
      <c r="D441" s="919"/>
      <c r="E441" s="920" t="s">
        <v>610</v>
      </c>
      <c r="F441" s="776"/>
      <c r="G441" s="776"/>
      <c r="H441" s="776"/>
      <c r="I441" s="733"/>
      <c r="J441" s="779"/>
      <c r="K441" s="776"/>
      <c r="L441" s="775"/>
      <c r="M441" s="775"/>
      <c r="N441" s="776"/>
      <c r="O441" s="776"/>
      <c r="P441" s="733"/>
      <c r="Q441" s="779"/>
      <c r="R441" s="776"/>
      <c r="S441" s="776"/>
      <c r="T441" s="733"/>
      <c r="U441" s="779"/>
      <c r="V441" s="776"/>
      <c r="W441" s="775"/>
      <c r="X441" s="775"/>
      <c r="Y441" s="775"/>
      <c r="Z441" s="775"/>
      <c r="AA441" s="775"/>
      <c r="AB441" s="775"/>
      <c r="AC441" s="757"/>
      <c r="AD441" s="757"/>
      <c r="AE441" s="755"/>
      <c r="AF441" s="755"/>
      <c r="AG441" s="758"/>
      <c r="AH441" s="755"/>
      <c r="AI441" s="759"/>
      <c r="AJ441" s="759"/>
      <c r="AK441" s="759"/>
      <c r="AL441" s="759"/>
      <c r="AM441" s="759"/>
      <c r="AN441" s="759"/>
      <c r="AO441" s="759"/>
      <c r="AP441" s="759"/>
      <c r="AQ441" s="759"/>
      <c r="AR441" s="759"/>
      <c r="AS441" s="759"/>
      <c r="AT441" s="761"/>
      <c r="AU441" s="761"/>
      <c r="AV441" s="759"/>
      <c r="AW441" s="759"/>
    </row>
    <row r="442" spans="2:49" s="199" customFormat="1" ht="50.1" customHeight="1">
      <c r="B442" s="917"/>
      <c r="C442" s="918"/>
      <c r="D442" s="919"/>
      <c r="E442" s="920" t="s">
        <v>611</v>
      </c>
      <c r="F442" s="776"/>
      <c r="G442" s="776"/>
      <c r="H442" s="776"/>
      <c r="I442" s="733"/>
      <c r="J442" s="779"/>
      <c r="K442" s="776"/>
      <c r="L442" s="775"/>
      <c r="M442" s="775"/>
      <c r="N442" s="776"/>
      <c r="O442" s="776"/>
      <c r="P442" s="733"/>
      <c r="Q442" s="779"/>
      <c r="R442" s="776"/>
      <c r="S442" s="776"/>
      <c r="T442" s="733"/>
      <c r="U442" s="779"/>
      <c r="V442" s="776"/>
      <c r="W442" s="775"/>
      <c r="X442" s="775"/>
      <c r="Y442" s="775"/>
      <c r="Z442" s="775"/>
      <c r="AA442" s="775"/>
      <c r="AB442" s="775"/>
      <c r="AC442" s="757"/>
      <c r="AD442" s="757"/>
      <c r="AE442" s="755"/>
      <c r="AF442" s="755"/>
      <c r="AG442" s="758"/>
      <c r="AH442" s="755"/>
      <c r="AI442" s="759"/>
      <c r="AJ442" s="759"/>
      <c r="AK442" s="759"/>
      <c r="AL442" s="759"/>
      <c r="AM442" s="759"/>
      <c r="AN442" s="759"/>
      <c r="AO442" s="759"/>
      <c r="AP442" s="759"/>
      <c r="AQ442" s="759"/>
      <c r="AR442" s="759"/>
      <c r="AS442" s="759"/>
      <c r="AT442" s="761"/>
      <c r="AU442" s="761"/>
      <c r="AV442" s="759"/>
      <c r="AW442" s="759"/>
    </row>
    <row r="443" spans="2:49" s="196" customFormat="1" ht="50.1" customHeight="1">
      <c r="B443" s="917"/>
      <c r="C443" s="918"/>
      <c r="D443" s="919"/>
      <c r="E443" s="920" t="s">
        <v>612</v>
      </c>
      <c r="F443" s="776"/>
      <c r="G443" s="776"/>
      <c r="H443" s="776"/>
      <c r="I443" s="733"/>
      <c r="J443" s="779"/>
      <c r="K443" s="776"/>
      <c r="L443" s="775"/>
      <c r="M443" s="775"/>
      <c r="N443" s="776"/>
      <c r="O443" s="776"/>
      <c r="P443" s="733"/>
      <c r="Q443" s="779"/>
      <c r="R443" s="776"/>
      <c r="S443" s="776"/>
      <c r="T443" s="733"/>
      <c r="U443" s="779"/>
      <c r="V443" s="776"/>
      <c r="W443" s="775"/>
      <c r="X443" s="775"/>
      <c r="Y443" s="775"/>
      <c r="Z443" s="775"/>
      <c r="AA443" s="775"/>
      <c r="AB443" s="775"/>
      <c r="AC443" s="757"/>
      <c r="AD443" s="757"/>
      <c r="AE443" s="755"/>
      <c r="AF443" s="755"/>
      <c r="AG443" s="758"/>
      <c r="AH443" s="755"/>
      <c r="AI443" s="759"/>
      <c r="AJ443" s="759"/>
      <c r="AK443" s="759"/>
      <c r="AL443" s="759"/>
      <c r="AM443" s="759"/>
      <c r="AN443" s="759"/>
      <c r="AO443" s="759"/>
      <c r="AP443" s="759"/>
      <c r="AQ443" s="759"/>
      <c r="AR443" s="759"/>
      <c r="AS443" s="759"/>
      <c r="AT443" s="761"/>
      <c r="AU443" s="761"/>
      <c r="AV443" s="759"/>
      <c r="AW443" s="759"/>
    </row>
    <row r="444" spans="2:49" s="196" customFormat="1" ht="50.1" customHeight="1">
      <c r="B444" s="917"/>
      <c r="C444" s="918"/>
      <c r="D444" s="919"/>
      <c r="E444" s="920" t="s">
        <v>613</v>
      </c>
      <c r="F444" s="776"/>
      <c r="G444" s="776"/>
      <c r="H444" s="776"/>
      <c r="I444" s="733"/>
      <c r="J444" s="779"/>
      <c r="K444" s="776"/>
      <c r="L444" s="775"/>
      <c r="M444" s="775"/>
      <c r="N444" s="776"/>
      <c r="O444" s="776"/>
      <c r="P444" s="733"/>
      <c r="Q444" s="779"/>
      <c r="R444" s="776"/>
      <c r="S444" s="776"/>
      <c r="T444" s="733"/>
      <c r="U444" s="779"/>
      <c r="V444" s="776"/>
      <c r="W444" s="775"/>
      <c r="X444" s="775"/>
      <c r="Y444" s="775"/>
      <c r="Z444" s="775"/>
      <c r="AA444" s="775"/>
      <c r="AB444" s="775"/>
      <c r="AC444" s="757"/>
      <c r="AD444" s="757"/>
      <c r="AE444" s="755"/>
      <c r="AF444" s="755"/>
      <c r="AG444" s="758"/>
      <c r="AH444" s="755"/>
      <c r="AI444" s="759"/>
      <c r="AJ444" s="759"/>
      <c r="AK444" s="759"/>
      <c r="AL444" s="759"/>
      <c r="AM444" s="759"/>
      <c r="AN444" s="759"/>
      <c r="AO444" s="759"/>
      <c r="AP444" s="759"/>
      <c r="AQ444" s="759"/>
      <c r="AR444" s="759"/>
      <c r="AS444" s="759"/>
      <c r="AT444" s="761"/>
      <c r="AU444" s="761"/>
      <c r="AV444" s="759"/>
      <c r="AW444" s="759"/>
    </row>
    <row r="445" spans="2:49" s="196" customFormat="1" ht="50.1" customHeight="1">
      <c r="B445" s="917"/>
      <c r="C445" s="918"/>
      <c r="D445" s="919"/>
      <c r="E445" s="920" t="s">
        <v>614</v>
      </c>
      <c r="F445" s="776"/>
      <c r="G445" s="776"/>
      <c r="H445" s="776"/>
      <c r="I445" s="733"/>
      <c r="J445" s="779"/>
      <c r="K445" s="776"/>
      <c r="L445" s="775"/>
      <c r="M445" s="775"/>
      <c r="N445" s="776"/>
      <c r="O445" s="776"/>
      <c r="P445" s="733"/>
      <c r="Q445" s="779"/>
      <c r="R445" s="776"/>
      <c r="S445" s="776"/>
      <c r="T445" s="733"/>
      <c r="U445" s="779"/>
      <c r="V445" s="776"/>
      <c r="W445" s="775"/>
      <c r="X445" s="775"/>
      <c r="Y445" s="775"/>
      <c r="Z445" s="775"/>
      <c r="AA445" s="775"/>
      <c r="AB445" s="775"/>
      <c r="AC445" s="757"/>
      <c r="AD445" s="757"/>
      <c r="AE445" s="755"/>
      <c r="AF445" s="755"/>
      <c r="AG445" s="758"/>
      <c r="AH445" s="755"/>
      <c r="AI445" s="759"/>
      <c r="AJ445" s="759"/>
      <c r="AK445" s="759"/>
      <c r="AL445" s="759"/>
      <c r="AM445" s="759"/>
      <c r="AN445" s="759"/>
      <c r="AO445" s="759"/>
      <c r="AP445" s="759"/>
      <c r="AQ445" s="759"/>
      <c r="AR445" s="759"/>
      <c r="AS445" s="759"/>
      <c r="AT445" s="761"/>
      <c r="AU445" s="761"/>
      <c r="AV445" s="759"/>
      <c r="AW445" s="759"/>
    </row>
    <row r="446" spans="2:49" s="196" customFormat="1" ht="50.1" customHeight="1">
      <c r="B446" s="917"/>
      <c r="C446" s="918"/>
      <c r="D446" s="919"/>
      <c r="E446" s="920" t="s">
        <v>615</v>
      </c>
      <c r="F446" s="776"/>
      <c r="G446" s="776"/>
      <c r="H446" s="776"/>
      <c r="I446" s="733"/>
      <c r="J446" s="779"/>
      <c r="K446" s="776"/>
      <c r="L446" s="775"/>
      <c r="M446" s="775"/>
      <c r="N446" s="776"/>
      <c r="O446" s="776"/>
      <c r="P446" s="733"/>
      <c r="Q446" s="779"/>
      <c r="R446" s="776"/>
      <c r="S446" s="776"/>
      <c r="T446" s="733"/>
      <c r="U446" s="779"/>
      <c r="V446" s="776"/>
      <c r="W446" s="775"/>
      <c r="X446" s="775"/>
      <c r="Y446" s="775"/>
      <c r="Z446" s="775"/>
      <c r="AA446" s="775"/>
      <c r="AB446" s="775"/>
      <c r="AC446" s="757"/>
      <c r="AD446" s="757"/>
      <c r="AE446" s="755"/>
      <c r="AF446" s="755"/>
      <c r="AG446" s="758"/>
      <c r="AH446" s="755"/>
      <c r="AI446" s="759"/>
      <c r="AJ446" s="759"/>
      <c r="AK446" s="759"/>
      <c r="AL446" s="759"/>
      <c r="AM446" s="759"/>
      <c r="AN446" s="759"/>
      <c r="AO446" s="759"/>
      <c r="AP446" s="759"/>
      <c r="AQ446" s="759"/>
      <c r="AR446" s="759"/>
      <c r="AS446" s="759"/>
      <c r="AT446" s="761"/>
      <c r="AU446" s="761"/>
      <c r="AV446" s="759"/>
      <c r="AW446" s="759"/>
    </row>
    <row r="447" spans="2:49" s="196" customFormat="1" ht="24.95" customHeight="1">
      <c r="B447" s="487"/>
      <c r="C447" s="736"/>
      <c r="D447" s="808"/>
      <c r="E447" s="776"/>
      <c r="F447" s="776"/>
      <c r="G447" s="776"/>
      <c r="H447" s="776"/>
      <c r="I447" s="733"/>
      <c r="J447" s="779"/>
      <c r="K447" s="776"/>
      <c r="L447" s="775"/>
      <c r="M447" s="775"/>
      <c r="N447" s="776"/>
      <c r="O447" s="776"/>
      <c r="P447" s="733"/>
      <c r="Q447" s="779"/>
      <c r="R447" s="776"/>
      <c r="S447" s="780"/>
      <c r="T447" s="733"/>
      <c r="U447" s="779"/>
      <c r="V447" s="776"/>
      <c r="W447" s="775"/>
      <c r="X447" s="775"/>
      <c r="Y447" s="775"/>
      <c r="Z447" s="775"/>
      <c r="AA447" s="775"/>
      <c r="AB447" s="775"/>
      <c r="AC447" s="757"/>
      <c r="AD447" s="757"/>
      <c r="AE447" s="755"/>
      <c r="AF447" s="755"/>
      <c r="AG447" s="758"/>
      <c r="AH447" s="755"/>
      <c r="AI447" s="759"/>
      <c r="AJ447" s="759"/>
      <c r="AK447" s="759"/>
      <c r="AL447" s="759"/>
      <c r="AM447" s="759"/>
      <c r="AN447" s="759"/>
      <c r="AO447" s="759"/>
      <c r="AP447" s="759"/>
      <c r="AQ447" s="759"/>
      <c r="AR447" s="759"/>
      <c r="AS447" s="759"/>
      <c r="AT447" s="761"/>
      <c r="AU447" s="761"/>
      <c r="AV447" s="759"/>
      <c r="AW447" s="759"/>
    </row>
    <row r="448" spans="2:49" s="196" customFormat="1" ht="24.95" customHeight="1">
      <c r="B448" s="487"/>
      <c r="C448" s="736"/>
      <c r="D448" s="808"/>
      <c r="E448" s="776"/>
      <c r="F448" s="776"/>
      <c r="G448" s="776"/>
      <c r="H448" s="776"/>
      <c r="I448" s="733"/>
      <c r="J448" s="779"/>
      <c r="K448" s="776"/>
      <c r="L448" s="775"/>
      <c r="M448" s="775"/>
      <c r="N448" s="776"/>
      <c r="O448" s="776"/>
      <c r="P448" s="733"/>
      <c r="Q448" s="779"/>
      <c r="R448" s="776"/>
      <c r="S448" s="776"/>
      <c r="T448" s="733"/>
      <c r="U448" s="779"/>
      <c r="V448" s="776"/>
      <c r="W448" s="775"/>
      <c r="X448" s="775"/>
      <c r="Y448" s="775"/>
      <c r="Z448" s="775"/>
      <c r="AA448" s="775"/>
      <c r="AB448" s="775"/>
      <c r="AC448" s="757"/>
      <c r="AD448" s="757"/>
      <c r="AE448" s="755"/>
      <c r="AF448" s="755"/>
      <c r="AG448" s="758"/>
      <c r="AH448" s="755"/>
      <c r="AI448" s="759"/>
      <c r="AJ448" s="759"/>
      <c r="AK448" s="759"/>
      <c r="AL448" s="759"/>
      <c r="AM448" s="759"/>
      <c r="AN448" s="759"/>
      <c r="AO448" s="759"/>
      <c r="AP448" s="759"/>
      <c r="AQ448" s="759"/>
      <c r="AR448" s="759"/>
      <c r="AS448" s="759"/>
      <c r="AT448" s="761"/>
      <c r="AU448" s="761"/>
      <c r="AV448" s="759"/>
      <c r="AW448" s="759"/>
    </row>
    <row r="449" spans="2:49" s="196" customFormat="1">
      <c r="B449" s="487"/>
      <c r="C449" s="736"/>
      <c r="D449" s="808"/>
      <c r="E449" s="776"/>
      <c r="F449" s="776"/>
      <c r="G449" s="776"/>
      <c r="H449" s="776"/>
      <c r="I449" s="733"/>
      <c r="J449" s="779"/>
      <c r="K449" s="776"/>
      <c r="L449" s="775"/>
      <c r="M449" s="775"/>
      <c r="N449" s="776"/>
      <c r="O449" s="776"/>
      <c r="P449" s="733"/>
      <c r="Q449" s="779"/>
      <c r="R449" s="776"/>
      <c r="S449" s="780">
        <f>S393+T393</f>
        <v>241.25</v>
      </c>
      <c r="T449" s="733"/>
      <c r="U449" s="779"/>
      <c r="V449" s="776"/>
      <c r="W449" s="775"/>
      <c r="X449" s="775"/>
      <c r="Y449" s="775"/>
      <c r="Z449" s="775"/>
      <c r="AA449" s="775"/>
      <c r="AB449" s="775"/>
      <c r="AC449" s="757"/>
      <c r="AD449" s="757"/>
      <c r="AE449" s="755"/>
      <c r="AF449" s="755"/>
      <c r="AG449" s="758"/>
      <c r="AH449" s="755"/>
      <c r="AI449" s="759"/>
      <c r="AJ449" s="759"/>
      <c r="AK449" s="759"/>
      <c r="AL449" s="759"/>
      <c r="AM449" s="759"/>
      <c r="AN449" s="759"/>
      <c r="AO449" s="759"/>
      <c r="AP449" s="759"/>
      <c r="AQ449" s="759"/>
      <c r="AR449" s="759"/>
      <c r="AS449" s="759"/>
      <c r="AT449" s="761"/>
      <c r="AU449" s="761"/>
      <c r="AV449" s="759"/>
      <c r="AW449" s="759"/>
    </row>
    <row r="450" spans="2:49" s="196" customFormat="1" ht="24.95" customHeight="1">
      <c r="B450" s="487"/>
      <c r="C450" s="736"/>
      <c r="D450" s="808"/>
      <c r="E450" s="776"/>
      <c r="F450" s="776"/>
      <c r="G450" s="776"/>
      <c r="H450" s="776"/>
      <c r="I450" s="733"/>
      <c r="J450" s="779"/>
      <c r="K450" s="776"/>
      <c r="L450" s="775"/>
      <c r="M450" s="775"/>
      <c r="N450" s="776"/>
      <c r="O450" s="776"/>
      <c r="P450" s="733"/>
      <c r="Q450" s="779"/>
      <c r="R450" s="776"/>
      <c r="S450" s="776"/>
      <c r="T450" s="733"/>
      <c r="U450" s="779"/>
      <c r="V450" s="776"/>
      <c r="W450" s="775"/>
      <c r="X450" s="775"/>
      <c r="Y450" s="775"/>
      <c r="Z450" s="775"/>
      <c r="AA450" s="775"/>
      <c r="AB450" s="775"/>
      <c r="AC450" s="757"/>
      <c r="AD450" s="757"/>
      <c r="AE450" s="755"/>
      <c r="AF450" s="755"/>
      <c r="AG450" s="758"/>
      <c r="AH450" s="755"/>
      <c r="AI450" s="759"/>
      <c r="AJ450" s="759"/>
      <c r="AK450" s="759"/>
      <c r="AL450" s="759"/>
      <c r="AM450" s="759"/>
      <c r="AN450" s="759"/>
      <c r="AO450" s="759"/>
      <c r="AP450" s="759"/>
      <c r="AQ450" s="759"/>
      <c r="AR450" s="759"/>
      <c r="AS450" s="759"/>
      <c r="AT450" s="761"/>
      <c r="AU450" s="761"/>
      <c r="AV450" s="759"/>
      <c r="AW450" s="759"/>
    </row>
    <row r="451" spans="2:49" s="198" customFormat="1" ht="24.95" customHeight="1">
      <c r="B451" s="487"/>
      <c r="C451" s="736"/>
      <c r="D451" s="808"/>
      <c r="E451" s="776"/>
      <c r="F451" s="776"/>
      <c r="G451" s="776"/>
      <c r="H451" s="776"/>
      <c r="I451" s="733"/>
      <c r="J451" s="779"/>
      <c r="K451" s="776"/>
      <c r="L451" s="775"/>
      <c r="M451" s="775"/>
      <c r="N451" s="776"/>
      <c r="O451" s="776"/>
      <c r="P451" s="733"/>
      <c r="Q451" s="779"/>
      <c r="R451" s="776"/>
      <c r="S451" s="776"/>
      <c r="T451" s="733"/>
      <c r="U451" s="779"/>
      <c r="V451" s="776"/>
      <c r="W451" s="775"/>
      <c r="X451" s="775"/>
      <c r="Y451" s="775"/>
      <c r="Z451" s="775"/>
      <c r="AA451" s="775"/>
      <c r="AB451" s="775"/>
      <c r="AC451" s="757"/>
      <c r="AD451" s="757"/>
      <c r="AE451" s="755"/>
      <c r="AF451" s="755"/>
      <c r="AG451" s="758"/>
      <c r="AH451" s="755"/>
      <c r="AI451" s="759"/>
      <c r="AJ451" s="759"/>
      <c r="AK451" s="759"/>
      <c r="AL451" s="759"/>
      <c r="AM451" s="759"/>
      <c r="AN451" s="759"/>
      <c r="AO451" s="759"/>
      <c r="AP451" s="759"/>
      <c r="AQ451" s="759"/>
      <c r="AR451" s="759"/>
      <c r="AS451" s="759"/>
      <c r="AT451" s="761"/>
      <c r="AU451" s="761"/>
      <c r="AV451" s="759"/>
      <c r="AW451" s="759"/>
    </row>
    <row r="452" spans="2:49" s="100" customFormat="1" ht="38.25">
      <c r="B452" s="97"/>
      <c r="C452" s="737"/>
      <c r="D452" s="805"/>
      <c r="E452" s="768"/>
      <c r="F452" s="768"/>
      <c r="G452" s="768"/>
      <c r="H452" s="768"/>
      <c r="I452" s="768"/>
      <c r="J452" s="768"/>
      <c r="K452" s="768"/>
      <c r="L452" s="768"/>
      <c r="M452" s="768"/>
      <c r="N452" s="768"/>
      <c r="O452" s="768"/>
      <c r="P452" s="768"/>
      <c r="Q452" s="768"/>
      <c r="R452" s="768"/>
      <c r="S452" s="768"/>
      <c r="T452" s="768"/>
      <c r="U452" s="768"/>
      <c r="V452" s="768"/>
      <c r="W452" s="768"/>
      <c r="X452" s="768"/>
      <c r="Y452" s="768"/>
      <c r="Z452" s="768"/>
      <c r="AA452" s="768"/>
      <c r="AB452" s="768"/>
      <c r="AC452" s="762"/>
      <c r="AD452" s="762"/>
      <c r="AE452" s="739"/>
      <c r="AF452" s="739"/>
      <c r="AG452" s="741"/>
      <c r="AH452" s="739"/>
      <c r="AI452" s="742"/>
      <c r="AJ452" s="742"/>
      <c r="AK452" s="742"/>
      <c r="AL452" s="742"/>
      <c r="AM452" s="742"/>
      <c r="AN452" s="742"/>
      <c r="AO452" s="763"/>
      <c r="AP452" s="742"/>
      <c r="AQ452" s="763"/>
      <c r="AR452" s="763"/>
      <c r="AS452" s="742"/>
      <c r="AT452" s="742"/>
      <c r="AU452" s="742"/>
      <c r="AV452" s="742"/>
      <c r="AW452" s="742"/>
    </row>
    <row r="453" spans="2:49" s="100" customFormat="1" ht="38.25">
      <c r="B453" s="97"/>
      <c r="C453" s="737"/>
      <c r="D453" s="805"/>
      <c r="E453" s="768"/>
      <c r="F453" s="768"/>
      <c r="G453" s="768"/>
      <c r="H453" s="768"/>
      <c r="I453" s="768"/>
      <c r="J453" s="768"/>
      <c r="K453" s="768"/>
      <c r="L453" s="768"/>
      <c r="M453" s="768"/>
      <c r="N453" s="768"/>
      <c r="O453" s="768"/>
      <c r="P453" s="768"/>
      <c r="Q453" s="768"/>
      <c r="R453" s="768"/>
      <c r="S453" s="768"/>
      <c r="T453" s="768"/>
      <c r="U453" s="768"/>
      <c r="V453" s="768"/>
      <c r="W453" s="768"/>
      <c r="X453" s="768"/>
      <c r="Y453" s="768"/>
      <c r="Z453" s="768"/>
      <c r="AA453" s="768"/>
      <c r="AB453" s="768"/>
      <c r="AC453" s="762"/>
      <c r="AD453" s="762"/>
      <c r="AE453" s="739"/>
      <c r="AF453" s="739"/>
      <c r="AG453" s="741"/>
      <c r="AH453" s="739"/>
      <c r="AI453" s="742"/>
      <c r="AJ453" s="742"/>
      <c r="AK453" s="742"/>
      <c r="AL453" s="742"/>
      <c r="AM453" s="742"/>
      <c r="AN453" s="742"/>
      <c r="AO453" s="763"/>
      <c r="AP453" s="742"/>
      <c r="AQ453" s="763"/>
      <c r="AR453" s="763"/>
      <c r="AS453" s="742"/>
      <c r="AT453" s="742"/>
      <c r="AU453" s="742"/>
      <c r="AV453" s="742"/>
      <c r="AW453" s="742"/>
    </row>
    <row r="454" spans="2:49" s="100" customFormat="1" ht="38.25">
      <c r="B454" s="97"/>
      <c r="C454" s="737"/>
      <c r="D454" s="805"/>
      <c r="E454" s="768"/>
      <c r="F454" s="768"/>
      <c r="G454" s="768"/>
      <c r="H454" s="768"/>
      <c r="I454" s="768"/>
      <c r="J454" s="768"/>
      <c r="K454" s="768"/>
      <c r="L454" s="768"/>
      <c r="M454" s="768"/>
      <c r="N454" s="768"/>
      <c r="O454" s="768"/>
      <c r="P454" s="768"/>
      <c r="Q454" s="768"/>
      <c r="R454" s="768"/>
      <c r="S454" s="768"/>
      <c r="T454" s="768"/>
      <c r="U454" s="768"/>
      <c r="V454" s="768"/>
      <c r="W454" s="768"/>
      <c r="X454" s="768"/>
      <c r="Y454" s="768"/>
      <c r="Z454" s="768"/>
      <c r="AA454" s="768"/>
      <c r="AB454" s="768"/>
      <c r="AC454" s="762"/>
      <c r="AD454" s="762"/>
      <c r="AE454" s="739"/>
      <c r="AF454" s="739"/>
      <c r="AG454" s="741"/>
      <c r="AH454" s="739"/>
      <c r="AI454" s="742"/>
      <c r="AJ454" s="742"/>
      <c r="AK454" s="742"/>
      <c r="AL454" s="742"/>
      <c r="AM454" s="742"/>
      <c r="AN454" s="742"/>
      <c r="AO454" s="763"/>
      <c r="AP454" s="742"/>
      <c r="AQ454" s="763"/>
      <c r="AR454" s="763"/>
      <c r="AS454" s="742"/>
      <c r="AT454" s="742"/>
      <c r="AU454" s="742"/>
      <c r="AV454" s="742"/>
      <c r="AW454" s="742"/>
    </row>
    <row r="455" spans="2:49" s="98" customFormat="1">
      <c r="B455" s="97"/>
      <c r="C455" s="737"/>
      <c r="D455" s="805"/>
      <c r="E455" s="768"/>
      <c r="F455" s="768"/>
      <c r="G455" s="768"/>
      <c r="H455" s="768"/>
      <c r="I455" s="768"/>
      <c r="J455" s="768"/>
      <c r="K455" s="768"/>
      <c r="L455" s="768"/>
      <c r="M455" s="768"/>
      <c r="N455" s="768"/>
      <c r="O455" s="768"/>
      <c r="P455" s="768"/>
      <c r="Q455" s="768"/>
      <c r="R455" s="768"/>
      <c r="S455" s="768"/>
      <c r="T455" s="768"/>
      <c r="U455" s="768"/>
      <c r="V455" s="768"/>
      <c r="W455" s="768"/>
      <c r="X455" s="768"/>
      <c r="Y455" s="768"/>
      <c r="Z455" s="768"/>
      <c r="AA455" s="768"/>
      <c r="AB455" s="768"/>
      <c r="AC455" s="762"/>
      <c r="AD455" s="762"/>
      <c r="AE455" s="739"/>
      <c r="AF455" s="739"/>
      <c r="AG455" s="741"/>
      <c r="AH455" s="739"/>
      <c r="AI455" s="742"/>
      <c r="AJ455" s="742"/>
      <c r="AK455" s="742"/>
      <c r="AL455" s="742"/>
      <c r="AM455" s="742"/>
      <c r="AN455" s="742"/>
      <c r="AO455" s="763"/>
      <c r="AP455" s="742"/>
      <c r="AQ455" s="763"/>
      <c r="AR455" s="763"/>
      <c r="AS455" s="742"/>
      <c r="AT455" s="742"/>
      <c r="AU455" s="742"/>
      <c r="AV455" s="742"/>
      <c r="AW455" s="742"/>
    </row>
    <row r="456" spans="2:49" s="98" customFormat="1">
      <c r="B456" s="97"/>
      <c r="C456" s="737"/>
      <c r="D456" s="805"/>
      <c r="E456" s="768"/>
      <c r="F456" s="768"/>
      <c r="G456" s="768"/>
      <c r="H456" s="768"/>
      <c r="I456" s="768"/>
      <c r="J456" s="768"/>
      <c r="K456" s="768"/>
      <c r="L456" s="768"/>
      <c r="M456" s="768"/>
      <c r="N456" s="768"/>
      <c r="O456" s="768"/>
      <c r="P456" s="768"/>
      <c r="Q456" s="768"/>
      <c r="R456" s="768"/>
      <c r="S456" s="768"/>
      <c r="T456" s="768"/>
      <c r="U456" s="768"/>
      <c r="V456" s="768"/>
      <c r="W456" s="768"/>
      <c r="X456" s="768"/>
      <c r="Y456" s="768"/>
      <c r="Z456" s="768"/>
      <c r="AA456" s="768"/>
      <c r="AB456" s="768"/>
      <c r="AC456" s="762"/>
      <c r="AD456" s="762"/>
      <c r="AE456" s="739"/>
      <c r="AF456" s="739"/>
      <c r="AG456" s="741"/>
      <c r="AH456" s="739"/>
      <c r="AI456" s="742"/>
      <c r="AJ456" s="742"/>
      <c r="AK456" s="742"/>
      <c r="AL456" s="742"/>
      <c r="AM456" s="742"/>
      <c r="AN456" s="742"/>
      <c r="AO456" s="763"/>
      <c r="AP456" s="742"/>
      <c r="AQ456" s="763"/>
      <c r="AR456" s="763"/>
      <c r="AS456" s="742"/>
      <c r="AT456" s="742"/>
      <c r="AU456" s="742"/>
      <c r="AV456" s="742"/>
      <c r="AW456" s="742"/>
    </row>
    <row r="457" spans="2:49" s="98" customFormat="1">
      <c r="B457" s="97"/>
      <c r="C457" s="737"/>
      <c r="D457" s="805"/>
      <c r="E457" s="768"/>
      <c r="F457" s="768"/>
      <c r="G457" s="768"/>
      <c r="H457" s="768"/>
      <c r="I457" s="768"/>
      <c r="J457" s="768"/>
      <c r="K457" s="768"/>
      <c r="L457" s="768"/>
      <c r="M457" s="768"/>
      <c r="N457" s="768"/>
      <c r="O457" s="768"/>
      <c r="P457" s="768"/>
      <c r="Q457" s="768"/>
      <c r="R457" s="768"/>
      <c r="S457" s="768"/>
      <c r="T457" s="768"/>
      <c r="U457" s="768"/>
      <c r="V457" s="768"/>
      <c r="W457" s="768"/>
      <c r="X457" s="768"/>
      <c r="Y457" s="768"/>
      <c r="Z457" s="768"/>
      <c r="AA457" s="768"/>
      <c r="AB457" s="768"/>
      <c r="AC457" s="762"/>
      <c r="AD457" s="762"/>
      <c r="AE457" s="739"/>
      <c r="AF457" s="739"/>
      <c r="AG457" s="741"/>
      <c r="AH457" s="739"/>
      <c r="AI457" s="742"/>
      <c r="AJ457" s="742"/>
      <c r="AK457" s="742"/>
      <c r="AL457" s="742"/>
      <c r="AM457" s="742"/>
      <c r="AN457" s="742"/>
      <c r="AO457" s="763"/>
      <c r="AP457" s="742"/>
      <c r="AQ457" s="763"/>
      <c r="AR457" s="763"/>
      <c r="AS457" s="742"/>
      <c r="AT457" s="742"/>
      <c r="AU457" s="742"/>
      <c r="AV457" s="742"/>
      <c r="AW457" s="742"/>
    </row>
    <row r="458" spans="2:49" s="98" customFormat="1">
      <c r="B458" s="97"/>
      <c r="C458" s="737"/>
      <c r="D458" s="805"/>
      <c r="E458" s="768"/>
      <c r="F458" s="768"/>
      <c r="G458" s="768"/>
      <c r="H458" s="768"/>
      <c r="I458" s="768"/>
      <c r="J458" s="768"/>
      <c r="K458" s="768"/>
      <c r="L458" s="768"/>
      <c r="M458" s="768"/>
      <c r="N458" s="768"/>
      <c r="O458" s="768"/>
      <c r="P458" s="768"/>
      <c r="Q458" s="768"/>
      <c r="R458" s="768"/>
      <c r="S458" s="768"/>
      <c r="T458" s="768"/>
      <c r="U458" s="768"/>
      <c r="V458" s="768"/>
      <c r="W458" s="768"/>
      <c r="X458" s="768"/>
      <c r="Y458" s="768"/>
      <c r="Z458" s="768"/>
      <c r="AA458" s="768"/>
      <c r="AB458" s="768"/>
      <c r="AC458" s="762"/>
      <c r="AD458" s="762"/>
      <c r="AE458" s="739"/>
      <c r="AF458" s="739"/>
      <c r="AG458" s="741"/>
      <c r="AH458" s="739"/>
      <c r="AI458" s="742"/>
      <c r="AJ458" s="742"/>
      <c r="AK458" s="742"/>
      <c r="AL458" s="742"/>
      <c r="AM458" s="742"/>
      <c r="AN458" s="742"/>
      <c r="AO458" s="763"/>
      <c r="AP458" s="742"/>
      <c r="AQ458" s="763"/>
      <c r="AR458" s="763"/>
      <c r="AS458" s="742"/>
      <c r="AT458" s="742"/>
      <c r="AU458" s="742"/>
      <c r="AV458" s="742"/>
      <c r="AW458" s="742"/>
    </row>
    <row r="459" spans="2:49" s="98" customFormat="1">
      <c r="B459" s="97"/>
      <c r="C459" s="737"/>
      <c r="D459" s="805"/>
      <c r="E459" s="768"/>
      <c r="F459" s="768"/>
      <c r="G459" s="768"/>
      <c r="H459" s="768"/>
      <c r="I459" s="768"/>
      <c r="J459" s="768"/>
      <c r="K459" s="768"/>
      <c r="L459" s="768"/>
      <c r="M459" s="768"/>
      <c r="N459" s="768"/>
      <c r="O459" s="768"/>
      <c r="P459" s="768"/>
      <c r="Q459" s="768"/>
      <c r="R459" s="768"/>
      <c r="S459" s="768"/>
      <c r="T459" s="768"/>
      <c r="U459" s="768"/>
      <c r="V459" s="768"/>
      <c r="W459" s="768"/>
      <c r="X459" s="768"/>
      <c r="Y459" s="768"/>
      <c r="Z459" s="768"/>
      <c r="AA459" s="768"/>
      <c r="AB459" s="768"/>
      <c r="AC459" s="762"/>
      <c r="AD459" s="762"/>
      <c r="AE459" s="739"/>
      <c r="AF459" s="739"/>
      <c r="AG459" s="741"/>
      <c r="AH459" s="739"/>
      <c r="AI459" s="742"/>
      <c r="AJ459" s="742"/>
      <c r="AK459" s="742"/>
      <c r="AL459" s="742"/>
      <c r="AM459" s="742"/>
      <c r="AN459" s="742"/>
      <c r="AO459" s="763"/>
      <c r="AP459" s="742"/>
      <c r="AQ459" s="763"/>
      <c r="AR459" s="763"/>
      <c r="AS459" s="742"/>
      <c r="AT459" s="742"/>
      <c r="AU459" s="742"/>
      <c r="AV459" s="742"/>
      <c r="AW459" s="742"/>
    </row>
    <row r="460" spans="2:49" s="98" customFormat="1">
      <c r="B460" s="97"/>
      <c r="C460" s="737"/>
      <c r="D460" s="805"/>
      <c r="E460" s="768"/>
      <c r="F460" s="768"/>
      <c r="G460" s="768"/>
      <c r="H460" s="768"/>
      <c r="I460" s="768"/>
      <c r="J460" s="768"/>
      <c r="K460" s="768"/>
      <c r="L460" s="768"/>
      <c r="M460" s="768"/>
      <c r="N460" s="768"/>
      <c r="O460" s="768"/>
      <c r="P460" s="768"/>
      <c r="Q460" s="768"/>
      <c r="R460" s="768"/>
      <c r="S460" s="768"/>
      <c r="T460" s="768"/>
      <c r="U460" s="768"/>
      <c r="V460" s="768"/>
      <c r="W460" s="768"/>
      <c r="X460" s="768"/>
      <c r="Y460" s="768"/>
      <c r="Z460" s="768"/>
      <c r="AA460" s="768"/>
      <c r="AB460" s="768"/>
      <c r="AC460" s="762"/>
      <c r="AD460" s="762"/>
      <c r="AE460" s="739"/>
      <c r="AF460" s="739"/>
      <c r="AG460" s="741"/>
      <c r="AH460" s="739"/>
      <c r="AI460" s="742"/>
      <c r="AJ460" s="742"/>
      <c r="AK460" s="742"/>
      <c r="AL460" s="742"/>
      <c r="AM460" s="742"/>
      <c r="AN460" s="742"/>
      <c r="AO460" s="763"/>
      <c r="AP460" s="742"/>
      <c r="AQ460" s="763"/>
      <c r="AR460" s="763"/>
      <c r="AS460" s="742"/>
      <c r="AT460" s="742"/>
      <c r="AU460" s="742"/>
      <c r="AV460" s="742"/>
      <c r="AW460" s="742"/>
    </row>
    <row r="461" spans="2:49" s="98" customFormat="1">
      <c r="B461" s="97"/>
      <c r="C461" s="737"/>
      <c r="D461" s="805"/>
      <c r="E461" s="768"/>
      <c r="F461" s="768"/>
      <c r="G461" s="768"/>
      <c r="H461" s="768"/>
      <c r="I461" s="768"/>
      <c r="J461" s="768"/>
      <c r="K461" s="768"/>
      <c r="L461" s="768"/>
      <c r="M461" s="768"/>
      <c r="N461" s="768"/>
      <c r="O461" s="768"/>
      <c r="P461" s="768"/>
      <c r="Q461" s="768"/>
      <c r="R461" s="768"/>
      <c r="S461" s="768"/>
      <c r="T461" s="768"/>
      <c r="U461" s="768"/>
      <c r="V461" s="768"/>
      <c r="W461" s="768"/>
      <c r="X461" s="768"/>
      <c r="Y461" s="768"/>
      <c r="Z461" s="768"/>
      <c r="AA461" s="768"/>
      <c r="AB461" s="768"/>
      <c r="AC461" s="762"/>
      <c r="AD461" s="762"/>
      <c r="AE461" s="739"/>
      <c r="AF461" s="739"/>
      <c r="AG461" s="741"/>
      <c r="AH461" s="739"/>
      <c r="AI461" s="742"/>
      <c r="AJ461" s="742"/>
      <c r="AK461" s="742"/>
      <c r="AL461" s="742"/>
      <c r="AM461" s="742"/>
      <c r="AN461" s="742"/>
      <c r="AO461" s="763"/>
      <c r="AP461" s="742"/>
      <c r="AQ461" s="763"/>
      <c r="AR461" s="763"/>
      <c r="AS461" s="742"/>
      <c r="AT461" s="742"/>
      <c r="AU461" s="742"/>
      <c r="AV461" s="742"/>
      <c r="AW461" s="742"/>
    </row>
    <row r="462" spans="2:49" s="98" customFormat="1">
      <c r="B462" s="97"/>
      <c r="C462" s="737"/>
      <c r="D462" s="805"/>
      <c r="E462" s="768"/>
      <c r="F462" s="768"/>
      <c r="G462" s="768"/>
      <c r="H462" s="768"/>
      <c r="I462" s="768"/>
      <c r="J462" s="768"/>
      <c r="K462" s="768"/>
      <c r="L462" s="768"/>
      <c r="M462" s="768"/>
      <c r="N462" s="768"/>
      <c r="O462" s="768"/>
      <c r="P462" s="768"/>
      <c r="Q462" s="768"/>
      <c r="R462" s="768"/>
      <c r="S462" s="768"/>
      <c r="T462" s="768"/>
      <c r="U462" s="768"/>
      <c r="V462" s="768"/>
      <c r="W462" s="768"/>
      <c r="X462" s="768"/>
      <c r="Y462" s="768"/>
      <c r="Z462" s="768"/>
      <c r="AA462" s="768"/>
      <c r="AB462" s="768"/>
      <c r="AC462" s="762"/>
      <c r="AD462" s="762"/>
      <c r="AE462" s="739"/>
      <c r="AF462" s="739"/>
      <c r="AG462" s="741"/>
      <c r="AH462" s="739"/>
      <c r="AI462" s="742"/>
      <c r="AJ462" s="742"/>
      <c r="AK462" s="742"/>
      <c r="AL462" s="742"/>
      <c r="AM462" s="742"/>
      <c r="AN462" s="742"/>
      <c r="AO462" s="763"/>
      <c r="AP462" s="742"/>
      <c r="AQ462" s="763"/>
      <c r="AR462" s="763"/>
      <c r="AS462" s="742"/>
      <c r="AT462" s="742"/>
      <c r="AU462" s="742"/>
      <c r="AV462" s="742"/>
      <c r="AW462" s="742"/>
    </row>
    <row r="463" spans="2:49" s="98" customFormat="1">
      <c r="B463" s="488"/>
      <c r="C463" s="738"/>
      <c r="D463" s="809"/>
      <c r="E463" s="781"/>
      <c r="F463" s="781"/>
      <c r="G463" s="781"/>
      <c r="H463" s="782"/>
      <c r="I463" s="781"/>
      <c r="J463" s="782"/>
      <c r="K463" s="781"/>
      <c r="L463" s="781"/>
      <c r="M463" s="782"/>
      <c r="N463" s="781"/>
      <c r="O463" s="782"/>
      <c r="P463" s="781"/>
      <c r="Q463" s="781"/>
      <c r="R463" s="781"/>
      <c r="S463" s="768"/>
      <c r="T463" s="768"/>
      <c r="U463" s="781"/>
      <c r="V463" s="781"/>
      <c r="W463" s="781"/>
      <c r="X463" s="781"/>
      <c r="Y463" s="781"/>
      <c r="Z463" s="781"/>
      <c r="AA463" s="781"/>
      <c r="AB463" s="781"/>
      <c r="AC463" s="740"/>
      <c r="AD463" s="740"/>
      <c r="AE463" s="764"/>
      <c r="AF463" s="764"/>
      <c r="AG463" s="741"/>
      <c r="AH463" s="739"/>
      <c r="AI463" s="742"/>
      <c r="AJ463" s="742"/>
      <c r="AK463" s="742"/>
      <c r="AL463" s="742"/>
      <c r="AM463" s="742"/>
      <c r="AN463" s="742"/>
      <c r="AO463" s="763"/>
      <c r="AP463" s="742"/>
      <c r="AQ463" s="763"/>
      <c r="AR463" s="763"/>
      <c r="AS463" s="742"/>
      <c r="AT463" s="742"/>
      <c r="AU463" s="742"/>
      <c r="AV463" s="742"/>
      <c r="AW463" s="742"/>
    </row>
    <row r="464" spans="2:49" s="98" customFormat="1">
      <c r="B464" s="488"/>
      <c r="C464" s="738"/>
      <c r="D464" s="809"/>
      <c r="E464" s="781"/>
      <c r="F464" s="781"/>
      <c r="G464" s="781"/>
      <c r="H464" s="782"/>
      <c r="I464" s="781"/>
      <c r="J464" s="782"/>
      <c r="K464" s="781"/>
      <c r="L464" s="781"/>
      <c r="M464" s="782"/>
      <c r="N464" s="781"/>
      <c r="O464" s="782"/>
      <c r="P464" s="781"/>
      <c r="Q464" s="781"/>
      <c r="R464" s="781"/>
      <c r="S464" s="768"/>
      <c r="T464" s="768"/>
      <c r="U464" s="781"/>
      <c r="V464" s="781"/>
      <c r="W464" s="781"/>
      <c r="X464" s="781"/>
      <c r="Y464" s="781"/>
      <c r="Z464" s="781"/>
      <c r="AA464" s="781"/>
      <c r="AB464" s="781"/>
      <c r="AC464" s="740"/>
      <c r="AD464" s="740"/>
      <c r="AE464" s="764"/>
      <c r="AF464" s="764"/>
      <c r="AG464" s="741"/>
      <c r="AH464" s="739"/>
      <c r="AI464" s="742"/>
      <c r="AJ464" s="742"/>
      <c r="AK464" s="742"/>
      <c r="AL464" s="742"/>
      <c r="AM464" s="742"/>
      <c r="AN464" s="742"/>
      <c r="AO464" s="763"/>
      <c r="AP464" s="742"/>
      <c r="AQ464" s="763"/>
      <c r="AR464" s="763"/>
      <c r="AS464" s="742"/>
      <c r="AT464" s="742"/>
      <c r="AU464" s="742"/>
      <c r="AV464" s="742"/>
      <c r="AW464" s="742"/>
    </row>
    <row r="465" spans="2:49" s="98" customFormat="1">
      <c r="B465" s="488"/>
      <c r="C465" s="738"/>
      <c r="D465" s="809"/>
      <c r="E465" s="781"/>
      <c r="F465" s="781"/>
      <c r="G465" s="781"/>
      <c r="H465" s="782"/>
      <c r="I465" s="781"/>
      <c r="J465" s="782"/>
      <c r="K465" s="781"/>
      <c r="L465" s="781"/>
      <c r="M465" s="782"/>
      <c r="N465" s="781"/>
      <c r="O465" s="782"/>
      <c r="P465" s="781"/>
      <c r="Q465" s="781"/>
      <c r="R465" s="781"/>
      <c r="S465" s="768"/>
      <c r="T465" s="768"/>
      <c r="U465" s="781"/>
      <c r="V465" s="781"/>
      <c r="W465" s="781"/>
      <c r="X465" s="781"/>
      <c r="Y465" s="781"/>
      <c r="Z465" s="781"/>
      <c r="AA465" s="781"/>
      <c r="AB465" s="781"/>
      <c r="AC465" s="740"/>
      <c r="AD465" s="740"/>
      <c r="AE465" s="764"/>
      <c r="AF465" s="764"/>
      <c r="AG465" s="741"/>
      <c r="AH465" s="739"/>
      <c r="AI465" s="742"/>
      <c r="AJ465" s="742"/>
      <c r="AK465" s="742"/>
      <c r="AL465" s="742"/>
      <c r="AM465" s="742"/>
      <c r="AN465" s="742"/>
      <c r="AO465" s="763"/>
      <c r="AP465" s="742"/>
      <c r="AQ465" s="763"/>
      <c r="AR465" s="763"/>
      <c r="AS465" s="742"/>
      <c r="AT465" s="742"/>
      <c r="AU465" s="742"/>
      <c r="AV465" s="742"/>
      <c r="AW465" s="742"/>
    </row>
    <row r="466" spans="2:49" s="98" customFormat="1">
      <c r="B466" s="488"/>
      <c r="C466" s="738"/>
      <c r="D466" s="809"/>
      <c r="E466" s="781"/>
      <c r="F466" s="781"/>
      <c r="G466" s="781"/>
      <c r="H466" s="782"/>
      <c r="I466" s="781"/>
      <c r="J466" s="782"/>
      <c r="K466" s="781"/>
      <c r="L466" s="781"/>
      <c r="M466" s="782"/>
      <c r="N466" s="781"/>
      <c r="O466" s="782"/>
      <c r="P466" s="781"/>
      <c r="Q466" s="781"/>
      <c r="R466" s="781"/>
      <c r="S466" s="768"/>
      <c r="T466" s="768"/>
      <c r="U466" s="781"/>
      <c r="V466" s="781"/>
      <c r="W466" s="781"/>
      <c r="X466" s="781"/>
      <c r="Y466" s="781"/>
      <c r="Z466" s="781"/>
      <c r="AA466" s="781"/>
      <c r="AB466" s="781"/>
      <c r="AC466" s="740"/>
      <c r="AD466" s="740"/>
      <c r="AE466" s="764"/>
      <c r="AF466" s="764"/>
      <c r="AG466" s="741"/>
      <c r="AH466" s="739"/>
      <c r="AI466" s="742"/>
      <c r="AJ466" s="742"/>
      <c r="AK466" s="742"/>
      <c r="AL466" s="742"/>
      <c r="AM466" s="742"/>
      <c r="AN466" s="742"/>
      <c r="AO466" s="763"/>
      <c r="AP466" s="742"/>
      <c r="AQ466" s="763"/>
      <c r="AR466" s="763"/>
      <c r="AS466" s="742"/>
      <c r="AT466" s="742"/>
      <c r="AU466" s="742"/>
      <c r="AV466" s="742"/>
      <c r="AW466" s="742"/>
    </row>
    <row r="467" spans="2:49" s="98" customFormat="1">
      <c r="B467" s="488"/>
      <c r="C467" s="738"/>
      <c r="D467" s="809"/>
      <c r="E467" s="781"/>
      <c r="F467" s="781"/>
      <c r="G467" s="781"/>
      <c r="H467" s="782"/>
      <c r="I467" s="781"/>
      <c r="J467" s="782"/>
      <c r="K467" s="781"/>
      <c r="L467" s="781"/>
      <c r="M467" s="782"/>
      <c r="N467" s="781"/>
      <c r="O467" s="782"/>
      <c r="P467" s="781"/>
      <c r="Q467" s="781"/>
      <c r="R467" s="781"/>
      <c r="S467" s="768"/>
      <c r="T467" s="768"/>
      <c r="U467" s="781"/>
      <c r="V467" s="781"/>
      <c r="W467" s="781"/>
      <c r="X467" s="781"/>
      <c r="Y467" s="781"/>
      <c r="Z467" s="781"/>
      <c r="AA467" s="781"/>
      <c r="AB467" s="781"/>
      <c r="AC467" s="740"/>
      <c r="AD467" s="740"/>
      <c r="AE467" s="764"/>
      <c r="AF467" s="764"/>
      <c r="AG467" s="741"/>
      <c r="AH467" s="739"/>
      <c r="AI467" s="742"/>
      <c r="AJ467" s="742"/>
      <c r="AK467" s="742"/>
      <c r="AL467" s="742"/>
      <c r="AM467" s="742"/>
      <c r="AN467" s="742"/>
      <c r="AO467" s="763"/>
      <c r="AP467" s="742"/>
      <c r="AQ467" s="763"/>
      <c r="AR467" s="763"/>
      <c r="AS467" s="742"/>
      <c r="AT467" s="742"/>
      <c r="AU467" s="742"/>
      <c r="AV467" s="742"/>
      <c r="AW467" s="742"/>
    </row>
    <row r="468" spans="2:49" s="98" customFormat="1">
      <c r="B468" s="488"/>
      <c r="C468" s="738"/>
      <c r="D468" s="809"/>
      <c r="E468" s="781"/>
      <c r="F468" s="781"/>
      <c r="G468" s="781"/>
      <c r="H468" s="782"/>
      <c r="I468" s="781"/>
      <c r="J468" s="782"/>
      <c r="K468" s="781"/>
      <c r="L468" s="781"/>
      <c r="M468" s="782"/>
      <c r="N468" s="781"/>
      <c r="O468" s="782"/>
      <c r="P468" s="781"/>
      <c r="Q468" s="781"/>
      <c r="R468" s="781"/>
      <c r="S468" s="768"/>
      <c r="T468" s="768"/>
      <c r="U468" s="781"/>
      <c r="V468" s="781"/>
      <c r="W468" s="781"/>
      <c r="X468" s="781"/>
      <c r="Y468" s="781"/>
      <c r="Z468" s="781"/>
      <c r="AA468" s="781"/>
      <c r="AB468" s="781"/>
      <c r="AC468" s="740"/>
      <c r="AD468" s="740"/>
      <c r="AE468" s="764"/>
      <c r="AF468" s="764"/>
      <c r="AG468" s="741"/>
      <c r="AH468" s="739"/>
      <c r="AI468" s="742"/>
      <c r="AJ468" s="742"/>
      <c r="AK468" s="742"/>
      <c r="AL468" s="742"/>
      <c r="AM468" s="742"/>
      <c r="AN468" s="742"/>
      <c r="AO468" s="763"/>
      <c r="AP468" s="742"/>
      <c r="AQ468" s="763"/>
      <c r="AR468" s="763"/>
      <c r="AS468" s="742"/>
      <c r="AT468" s="742"/>
      <c r="AU468" s="742"/>
      <c r="AV468" s="742"/>
      <c r="AW468" s="742"/>
    </row>
    <row r="469" spans="2:49" s="98" customFormat="1">
      <c r="B469" s="488"/>
      <c r="C469" s="738"/>
      <c r="D469" s="809"/>
      <c r="E469" s="781"/>
      <c r="F469" s="781"/>
      <c r="G469" s="781"/>
      <c r="H469" s="782"/>
      <c r="I469" s="781"/>
      <c r="J469" s="782"/>
      <c r="K469" s="781"/>
      <c r="L469" s="781"/>
      <c r="M469" s="782"/>
      <c r="N469" s="781"/>
      <c r="O469" s="782"/>
      <c r="P469" s="781"/>
      <c r="Q469" s="781"/>
      <c r="R469" s="781"/>
      <c r="S469" s="768"/>
      <c r="T469" s="768"/>
      <c r="U469" s="781"/>
      <c r="V469" s="781"/>
      <c r="W469" s="781"/>
      <c r="X469" s="781"/>
      <c r="Y469" s="781"/>
      <c r="Z469" s="781"/>
      <c r="AA469" s="781"/>
      <c r="AB469" s="781"/>
      <c r="AC469" s="740"/>
      <c r="AD469" s="740"/>
      <c r="AE469" s="764"/>
      <c r="AF469" s="764"/>
      <c r="AG469" s="741"/>
      <c r="AH469" s="739"/>
      <c r="AI469" s="742"/>
      <c r="AJ469" s="742"/>
      <c r="AK469" s="742"/>
      <c r="AL469" s="742"/>
      <c r="AM469" s="742"/>
      <c r="AN469" s="742"/>
      <c r="AO469" s="763"/>
      <c r="AP469" s="742"/>
      <c r="AQ469" s="763"/>
      <c r="AR469" s="763"/>
      <c r="AS469" s="742"/>
      <c r="AT469" s="742"/>
      <c r="AU469" s="742"/>
      <c r="AV469" s="742"/>
      <c r="AW469" s="742"/>
    </row>
    <row r="470" spans="2:49" s="98" customFormat="1">
      <c r="B470" s="488"/>
      <c r="C470" s="738"/>
      <c r="D470" s="809"/>
      <c r="E470" s="781"/>
      <c r="F470" s="781"/>
      <c r="G470" s="781"/>
      <c r="H470" s="782"/>
      <c r="I470" s="781"/>
      <c r="J470" s="782"/>
      <c r="K470" s="781"/>
      <c r="L470" s="781"/>
      <c r="M470" s="782"/>
      <c r="N470" s="781"/>
      <c r="O470" s="782"/>
      <c r="P470" s="781"/>
      <c r="Q470" s="781"/>
      <c r="R470" s="781"/>
      <c r="S470" s="768"/>
      <c r="T470" s="768"/>
      <c r="U470" s="781"/>
      <c r="V470" s="781"/>
      <c r="W470" s="781"/>
      <c r="X470" s="781"/>
      <c r="Y470" s="781"/>
      <c r="Z470" s="781"/>
      <c r="AA470" s="781"/>
      <c r="AB470" s="781"/>
      <c r="AC470" s="740"/>
      <c r="AD470" s="740"/>
      <c r="AE470" s="764"/>
      <c r="AF470" s="764"/>
      <c r="AG470" s="741"/>
      <c r="AH470" s="739"/>
      <c r="AI470" s="742"/>
      <c r="AJ470" s="742"/>
      <c r="AK470" s="742"/>
      <c r="AL470" s="742"/>
      <c r="AM470" s="742"/>
      <c r="AN470" s="742"/>
      <c r="AO470" s="763"/>
      <c r="AP470" s="742"/>
      <c r="AQ470" s="763"/>
      <c r="AR470" s="763"/>
      <c r="AS470" s="742"/>
      <c r="AT470" s="742"/>
      <c r="AU470" s="742"/>
      <c r="AV470" s="742"/>
      <c r="AW470" s="742"/>
    </row>
    <row r="471" spans="2:49" s="98" customFormat="1">
      <c r="B471" s="488"/>
      <c r="C471" s="738"/>
      <c r="D471" s="809"/>
      <c r="E471" s="781"/>
      <c r="F471" s="781"/>
      <c r="G471" s="781"/>
      <c r="H471" s="782"/>
      <c r="I471" s="781"/>
      <c r="J471" s="782"/>
      <c r="K471" s="781"/>
      <c r="L471" s="781"/>
      <c r="M471" s="782"/>
      <c r="N471" s="781"/>
      <c r="O471" s="782"/>
      <c r="P471" s="781"/>
      <c r="Q471" s="781"/>
      <c r="R471" s="781"/>
      <c r="S471" s="768"/>
      <c r="T471" s="768"/>
      <c r="U471" s="781"/>
      <c r="V471" s="781"/>
      <c r="W471" s="781"/>
      <c r="X471" s="781"/>
      <c r="Y471" s="781"/>
      <c r="Z471" s="781"/>
      <c r="AA471" s="781"/>
      <c r="AB471" s="781"/>
      <c r="AC471" s="740"/>
      <c r="AD471" s="740"/>
      <c r="AE471" s="764"/>
      <c r="AF471" s="764"/>
      <c r="AG471" s="741"/>
      <c r="AH471" s="739"/>
      <c r="AI471" s="742"/>
      <c r="AJ471" s="742"/>
      <c r="AK471" s="742"/>
      <c r="AL471" s="742"/>
      <c r="AM471" s="742"/>
      <c r="AN471" s="742"/>
      <c r="AO471" s="763"/>
      <c r="AP471" s="742"/>
      <c r="AQ471" s="763"/>
      <c r="AR471" s="763"/>
      <c r="AS471" s="742"/>
      <c r="AT471" s="742"/>
      <c r="AU471" s="742"/>
      <c r="AV471" s="742"/>
      <c r="AW471" s="742"/>
    </row>
    <row r="472" spans="2:49" s="98" customFormat="1">
      <c r="B472" s="488"/>
      <c r="C472" s="738"/>
      <c r="D472" s="809"/>
      <c r="E472" s="781"/>
      <c r="F472" s="781"/>
      <c r="G472" s="781"/>
      <c r="H472" s="782"/>
      <c r="I472" s="781"/>
      <c r="J472" s="782"/>
      <c r="K472" s="781"/>
      <c r="L472" s="781"/>
      <c r="M472" s="782"/>
      <c r="N472" s="781"/>
      <c r="O472" s="782"/>
      <c r="P472" s="781"/>
      <c r="Q472" s="781"/>
      <c r="R472" s="781"/>
      <c r="S472" s="768"/>
      <c r="T472" s="768"/>
      <c r="U472" s="781"/>
      <c r="V472" s="781"/>
      <c r="W472" s="781"/>
      <c r="X472" s="781"/>
      <c r="Y472" s="781"/>
      <c r="Z472" s="781"/>
      <c r="AA472" s="781"/>
      <c r="AB472" s="781"/>
      <c r="AC472" s="740"/>
      <c r="AD472" s="740"/>
      <c r="AE472" s="764"/>
      <c r="AF472" s="764"/>
      <c r="AG472" s="741"/>
      <c r="AH472" s="739"/>
      <c r="AI472" s="742"/>
      <c r="AJ472" s="742"/>
      <c r="AK472" s="742"/>
      <c r="AL472" s="742"/>
      <c r="AM472" s="742"/>
      <c r="AN472" s="742"/>
      <c r="AO472" s="763"/>
      <c r="AP472" s="742"/>
      <c r="AQ472" s="763"/>
      <c r="AR472" s="763"/>
      <c r="AS472" s="742"/>
      <c r="AT472" s="742"/>
      <c r="AU472" s="742"/>
      <c r="AV472" s="742"/>
      <c r="AW472" s="742"/>
    </row>
    <row r="473" spans="2:49" s="98" customFormat="1">
      <c r="B473" s="488"/>
      <c r="C473" s="738"/>
      <c r="D473" s="809"/>
      <c r="E473" s="781"/>
      <c r="F473" s="781"/>
      <c r="G473" s="781"/>
      <c r="H473" s="782"/>
      <c r="I473" s="781"/>
      <c r="J473" s="782"/>
      <c r="K473" s="781"/>
      <c r="L473" s="781"/>
      <c r="M473" s="782"/>
      <c r="N473" s="781"/>
      <c r="O473" s="782"/>
      <c r="P473" s="781"/>
      <c r="Q473" s="781"/>
      <c r="R473" s="781"/>
      <c r="S473" s="768"/>
      <c r="T473" s="768"/>
      <c r="U473" s="781"/>
      <c r="V473" s="781"/>
      <c r="W473" s="781"/>
      <c r="X473" s="781"/>
      <c r="Y473" s="781"/>
      <c r="Z473" s="781"/>
      <c r="AA473" s="781"/>
      <c r="AB473" s="781"/>
      <c r="AC473" s="740"/>
      <c r="AD473" s="740"/>
      <c r="AE473" s="764"/>
      <c r="AF473" s="764"/>
      <c r="AG473" s="741"/>
      <c r="AH473" s="739"/>
      <c r="AI473" s="742"/>
      <c r="AJ473" s="742"/>
      <c r="AK473" s="742"/>
      <c r="AL473" s="742"/>
      <c r="AM473" s="742"/>
      <c r="AN473" s="742"/>
      <c r="AO473" s="763"/>
      <c r="AP473" s="742"/>
      <c r="AQ473" s="763"/>
      <c r="AR473" s="763"/>
      <c r="AS473" s="742"/>
      <c r="AT473" s="742"/>
      <c r="AU473" s="742"/>
      <c r="AV473" s="742"/>
      <c r="AW473" s="742"/>
    </row>
    <row r="474" spans="2:49" s="98" customFormat="1">
      <c r="B474" s="488"/>
      <c r="C474" s="738"/>
      <c r="D474" s="809"/>
      <c r="E474" s="781"/>
      <c r="F474" s="781"/>
      <c r="G474" s="781"/>
      <c r="H474" s="782"/>
      <c r="I474" s="781"/>
      <c r="J474" s="782"/>
      <c r="K474" s="781"/>
      <c r="L474" s="781"/>
      <c r="M474" s="782"/>
      <c r="N474" s="781"/>
      <c r="O474" s="782"/>
      <c r="P474" s="781"/>
      <c r="Q474" s="781"/>
      <c r="R474" s="781"/>
      <c r="S474" s="768"/>
      <c r="T474" s="768"/>
      <c r="U474" s="781"/>
      <c r="V474" s="781"/>
      <c r="W474" s="781"/>
      <c r="X474" s="781"/>
      <c r="Y474" s="781"/>
      <c r="Z474" s="781"/>
      <c r="AA474" s="781"/>
      <c r="AB474" s="781"/>
      <c r="AC474" s="740"/>
      <c r="AD474" s="740"/>
      <c r="AE474" s="764"/>
      <c r="AF474" s="764"/>
      <c r="AG474" s="741"/>
      <c r="AH474" s="739"/>
      <c r="AI474" s="742"/>
      <c r="AJ474" s="742"/>
      <c r="AK474" s="742"/>
      <c r="AL474" s="742"/>
      <c r="AM474" s="742"/>
      <c r="AN474" s="742"/>
      <c r="AO474" s="763"/>
      <c r="AP474" s="742"/>
      <c r="AQ474" s="763"/>
      <c r="AR474" s="763"/>
      <c r="AS474" s="742"/>
      <c r="AT474" s="742"/>
      <c r="AU474" s="742"/>
      <c r="AV474" s="742"/>
      <c r="AW474" s="742"/>
    </row>
    <row r="475" spans="2:49" s="98" customFormat="1">
      <c r="B475" s="488"/>
      <c r="C475" s="738"/>
      <c r="D475" s="809"/>
      <c r="E475" s="781"/>
      <c r="F475" s="781"/>
      <c r="G475" s="781"/>
      <c r="H475" s="782"/>
      <c r="I475" s="781"/>
      <c r="J475" s="782"/>
      <c r="K475" s="781"/>
      <c r="L475" s="781"/>
      <c r="M475" s="782"/>
      <c r="N475" s="781"/>
      <c r="O475" s="782"/>
      <c r="P475" s="781"/>
      <c r="Q475" s="781"/>
      <c r="R475" s="781"/>
      <c r="S475" s="768"/>
      <c r="T475" s="768"/>
      <c r="U475" s="781"/>
      <c r="V475" s="781"/>
      <c r="W475" s="781"/>
      <c r="X475" s="781"/>
      <c r="Y475" s="781"/>
      <c r="Z475" s="781"/>
      <c r="AA475" s="781"/>
      <c r="AB475" s="781"/>
      <c r="AC475" s="740"/>
      <c r="AD475" s="740"/>
      <c r="AE475" s="764"/>
      <c r="AF475" s="764"/>
      <c r="AG475" s="741"/>
      <c r="AH475" s="739"/>
      <c r="AI475" s="742"/>
      <c r="AJ475" s="742"/>
      <c r="AK475" s="742"/>
      <c r="AL475" s="742"/>
      <c r="AM475" s="742"/>
      <c r="AN475" s="742"/>
      <c r="AO475" s="763"/>
      <c r="AP475" s="742"/>
      <c r="AQ475" s="763"/>
      <c r="AR475" s="763"/>
      <c r="AS475" s="742"/>
      <c r="AT475" s="742"/>
      <c r="AU475" s="742"/>
      <c r="AV475" s="742"/>
      <c r="AW475" s="742"/>
    </row>
    <row r="476" spans="2:49" s="98" customFormat="1">
      <c r="B476" s="488"/>
      <c r="C476" s="738"/>
      <c r="D476" s="809"/>
      <c r="E476" s="781"/>
      <c r="F476" s="781"/>
      <c r="G476" s="781"/>
      <c r="H476" s="782"/>
      <c r="I476" s="781"/>
      <c r="J476" s="782"/>
      <c r="K476" s="781"/>
      <c r="L476" s="781"/>
      <c r="M476" s="782"/>
      <c r="N476" s="781"/>
      <c r="O476" s="782"/>
      <c r="P476" s="781"/>
      <c r="Q476" s="781"/>
      <c r="R476" s="781"/>
      <c r="S476" s="768"/>
      <c r="T476" s="768"/>
      <c r="U476" s="781"/>
      <c r="V476" s="781"/>
      <c r="W476" s="781"/>
      <c r="X476" s="781"/>
      <c r="Y476" s="781"/>
      <c r="Z476" s="781"/>
      <c r="AA476" s="781"/>
      <c r="AB476" s="781"/>
      <c r="AC476" s="740"/>
      <c r="AD476" s="740"/>
      <c r="AE476" s="764"/>
      <c r="AF476" s="764"/>
      <c r="AG476" s="741"/>
      <c r="AH476" s="739"/>
      <c r="AI476" s="742"/>
      <c r="AJ476" s="742"/>
      <c r="AK476" s="742"/>
      <c r="AL476" s="742"/>
      <c r="AM476" s="742"/>
      <c r="AN476" s="742"/>
      <c r="AO476" s="763"/>
      <c r="AP476" s="742"/>
      <c r="AQ476" s="763"/>
      <c r="AR476" s="763"/>
      <c r="AS476" s="742"/>
      <c r="AT476" s="742"/>
      <c r="AU476" s="742"/>
      <c r="AV476" s="742"/>
      <c r="AW476" s="742"/>
    </row>
    <row r="477" spans="2:49" s="98" customFormat="1">
      <c r="B477" s="488"/>
      <c r="C477" s="738"/>
      <c r="D477" s="809"/>
      <c r="E477" s="781"/>
      <c r="F477" s="781"/>
      <c r="G477" s="781"/>
      <c r="H477" s="782"/>
      <c r="I477" s="781"/>
      <c r="J477" s="782"/>
      <c r="K477" s="781"/>
      <c r="L477" s="781"/>
      <c r="M477" s="782"/>
      <c r="N477" s="781"/>
      <c r="O477" s="782"/>
      <c r="P477" s="781"/>
      <c r="Q477" s="781"/>
      <c r="R477" s="781"/>
      <c r="S477" s="768"/>
      <c r="T477" s="768"/>
      <c r="U477" s="781"/>
      <c r="V477" s="781"/>
      <c r="W477" s="781"/>
      <c r="X477" s="781"/>
      <c r="Y477" s="781"/>
      <c r="Z477" s="781"/>
      <c r="AA477" s="781"/>
      <c r="AB477" s="781"/>
      <c r="AC477" s="740"/>
      <c r="AD477" s="740"/>
      <c r="AE477" s="764"/>
      <c r="AF477" s="764"/>
      <c r="AG477" s="741"/>
      <c r="AH477" s="739"/>
      <c r="AI477" s="742"/>
      <c r="AJ477" s="742"/>
      <c r="AK477" s="742"/>
      <c r="AL477" s="742"/>
      <c r="AM477" s="742"/>
      <c r="AN477" s="742"/>
      <c r="AO477" s="763"/>
      <c r="AP477" s="742"/>
      <c r="AQ477" s="763"/>
      <c r="AR477" s="763"/>
      <c r="AS477" s="742"/>
      <c r="AT477" s="742"/>
      <c r="AU477" s="742"/>
      <c r="AV477" s="742"/>
      <c r="AW477" s="742"/>
    </row>
    <row r="478" spans="2:49" s="98" customFormat="1">
      <c r="B478" s="488"/>
      <c r="C478" s="738"/>
      <c r="D478" s="809"/>
      <c r="E478" s="781"/>
      <c r="F478" s="781"/>
      <c r="G478" s="781"/>
      <c r="H478" s="782"/>
      <c r="I478" s="781"/>
      <c r="J478" s="782"/>
      <c r="K478" s="781"/>
      <c r="L478" s="781"/>
      <c r="M478" s="782"/>
      <c r="N478" s="781"/>
      <c r="O478" s="782"/>
      <c r="P478" s="781"/>
      <c r="Q478" s="781"/>
      <c r="R478" s="781"/>
      <c r="S478" s="768"/>
      <c r="T478" s="768"/>
      <c r="U478" s="781"/>
      <c r="V478" s="781"/>
      <c r="W478" s="781"/>
      <c r="X478" s="781"/>
      <c r="Y478" s="781"/>
      <c r="Z478" s="781"/>
      <c r="AA478" s="781"/>
      <c r="AB478" s="781"/>
      <c r="AC478" s="740"/>
      <c r="AD478" s="740"/>
      <c r="AE478" s="764"/>
      <c r="AF478" s="764"/>
      <c r="AG478" s="741"/>
      <c r="AH478" s="739"/>
      <c r="AI478" s="742"/>
      <c r="AJ478" s="742"/>
      <c r="AK478" s="742"/>
      <c r="AL478" s="742"/>
      <c r="AM478" s="742"/>
      <c r="AN478" s="742"/>
      <c r="AO478" s="763"/>
      <c r="AP478" s="742"/>
      <c r="AQ478" s="763"/>
      <c r="AR478" s="763"/>
      <c r="AS478" s="742"/>
      <c r="AT478" s="742"/>
      <c r="AU478" s="742"/>
      <c r="AV478" s="742"/>
      <c r="AW478" s="742"/>
    </row>
    <row r="479" spans="2:49" s="98" customFormat="1">
      <c r="B479" s="488"/>
      <c r="C479" s="738"/>
      <c r="D479" s="809"/>
      <c r="E479" s="781"/>
      <c r="F479" s="781"/>
      <c r="G479" s="781"/>
      <c r="H479" s="782"/>
      <c r="I479" s="781"/>
      <c r="J479" s="782"/>
      <c r="K479" s="781"/>
      <c r="L479" s="781"/>
      <c r="M479" s="782"/>
      <c r="N479" s="781"/>
      <c r="O479" s="782"/>
      <c r="P479" s="781"/>
      <c r="Q479" s="781"/>
      <c r="R479" s="781"/>
      <c r="S479" s="768"/>
      <c r="T479" s="768"/>
      <c r="U479" s="781"/>
      <c r="V479" s="781"/>
      <c r="W479" s="781"/>
      <c r="X479" s="781"/>
      <c r="Y479" s="781"/>
      <c r="Z479" s="781"/>
      <c r="AA479" s="781"/>
      <c r="AB479" s="781"/>
      <c r="AC479" s="740"/>
      <c r="AD479" s="740"/>
      <c r="AE479" s="764"/>
      <c r="AF479" s="764"/>
      <c r="AG479" s="741"/>
      <c r="AH479" s="739"/>
      <c r="AI479" s="742"/>
      <c r="AJ479" s="742"/>
      <c r="AK479" s="742"/>
      <c r="AL479" s="742"/>
      <c r="AM479" s="742"/>
      <c r="AN479" s="742"/>
      <c r="AO479" s="763"/>
      <c r="AP479" s="742"/>
      <c r="AQ479" s="763"/>
      <c r="AR479" s="763"/>
      <c r="AS479" s="742"/>
      <c r="AT479" s="742"/>
      <c r="AU479" s="742"/>
      <c r="AV479" s="742"/>
      <c r="AW479" s="742"/>
    </row>
    <row r="480" spans="2:49" s="98" customFormat="1">
      <c r="B480" s="488"/>
      <c r="C480" s="738"/>
      <c r="D480" s="809"/>
      <c r="E480" s="781"/>
      <c r="F480" s="781"/>
      <c r="G480" s="781"/>
      <c r="H480" s="782"/>
      <c r="I480" s="781"/>
      <c r="J480" s="782"/>
      <c r="K480" s="781"/>
      <c r="L480" s="781"/>
      <c r="M480" s="782"/>
      <c r="N480" s="781"/>
      <c r="O480" s="782"/>
      <c r="P480" s="781"/>
      <c r="Q480" s="781"/>
      <c r="R480" s="781"/>
      <c r="S480" s="768"/>
      <c r="T480" s="768"/>
      <c r="U480" s="781"/>
      <c r="V480" s="781"/>
      <c r="W480" s="781"/>
      <c r="X480" s="781"/>
      <c r="Y480" s="781"/>
      <c r="Z480" s="781"/>
      <c r="AA480" s="781"/>
      <c r="AB480" s="781"/>
      <c r="AC480" s="740"/>
      <c r="AD480" s="740"/>
      <c r="AE480" s="764"/>
      <c r="AF480" s="764"/>
      <c r="AG480" s="741"/>
      <c r="AH480" s="739"/>
      <c r="AI480" s="742"/>
      <c r="AJ480" s="742"/>
      <c r="AK480" s="742"/>
      <c r="AL480" s="742"/>
      <c r="AM480" s="742"/>
      <c r="AN480" s="742"/>
      <c r="AO480" s="763"/>
      <c r="AP480" s="742"/>
      <c r="AQ480" s="763"/>
      <c r="AR480" s="763"/>
      <c r="AS480" s="742"/>
      <c r="AT480" s="742"/>
      <c r="AU480" s="742"/>
      <c r="AV480" s="742"/>
      <c r="AW480" s="742"/>
    </row>
    <row r="481" spans="2:49" s="98" customFormat="1">
      <c r="B481" s="488"/>
      <c r="C481" s="738"/>
      <c r="D481" s="809"/>
      <c r="E481" s="781"/>
      <c r="F481" s="781"/>
      <c r="G481" s="781"/>
      <c r="H481" s="782"/>
      <c r="I481" s="781"/>
      <c r="J481" s="782"/>
      <c r="K481" s="781"/>
      <c r="L481" s="781"/>
      <c r="M481" s="782"/>
      <c r="N481" s="781"/>
      <c r="O481" s="782"/>
      <c r="P481" s="781"/>
      <c r="Q481" s="781"/>
      <c r="R481" s="781"/>
      <c r="S481" s="768"/>
      <c r="T481" s="768"/>
      <c r="U481" s="781"/>
      <c r="V481" s="781"/>
      <c r="W481" s="781"/>
      <c r="X481" s="781"/>
      <c r="Y481" s="781"/>
      <c r="Z481" s="781"/>
      <c r="AA481" s="781"/>
      <c r="AB481" s="781"/>
      <c r="AC481" s="740"/>
      <c r="AD481" s="740"/>
      <c r="AE481" s="764"/>
      <c r="AF481" s="764"/>
      <c r="AG481" s="741"/>
      <c r="AH481" s="739"/>
      <c r="AI481" s="742"/>
      <c r="AJ481" s="742"/>
      <c r="AK481" s="742"/>
      <c r="AL481" s="742"/>
      <c r="AM481" s="742"/>
      <c r="AN481" s="742"/>
      <c r="AO481" s="763"/>
      <c r="AP481" s="742"/>
      <c r="AQ481" s="763"/>
      <c r="AR481" s="763"/>
      <c r="AS481" s="742"/>
      <c r="AT481" s="742"/>
      <c r="AU481" s="742"/>
      <c r="AV481" s="742"/>
      <c r="AW481" s="742"/>
    </row>
    <row r="482" spans="2:49" s="98" customFormat="1">
      <c r="B482" s="488"/>
      <c r="C482" s="738"/>
      <c r="D482" s="809"/>
      <c r="E482" s="781"/>
      <c r="F482" s="781"/>
      <c r="G482" s="781"/>
      <c r="H482" s="782"/>
      <c r="I482" s="781"/>
      <c r="J482" s="782"/>
      <c r="K482" s="781"/>
      <c r="L482" s="781"/>
      <c r="M482" s="782"/>
      <c r="N482" s="781"/>
      <c r="O482" s="782"/>
      <c r="P482" s="781"/>
      <c r="Q482" s="781"/>
      <c r="R482" s="781"/>
      <c r="S482" s="768"/>
      <c r="T482" s="768"/>
      <c r="U482" s="781"/>
      <c r="V482" s="781"/>
      <c r="W482" s="781"/>
      <c r="X482" s="781"/>
      <c r="Y482" s="781"/>
      <c r="Z482" s="781"/>
      <c r="AA482" s="781"/>
      <c r="AB482" s="781"/>
      <c r="AC482" s="740"/>
      <c r="AD482" s="740"/>
      <c r="AE482" s="764"/>
      <c r="AF482" s="764"/>
      <c r="AG482" s="741"/>
      <c r="AH482" s="739"/>
      <c r="AI482" s="742"/>
      <c r="AJ482" s="742"/>
      <c r="AK482" s="742"/>
      <c r="AL482" s="742"/>
      <c r="AM482" s="742"/>
      <c r="AN482" s="742"/>
      <c r="AO482" s="763"/>
      <c r="AP482" s="742"/>
      <c r="AQ482" s="763"/>
      <c r="AR482" s="763"/>
      <c r="AS482" s="742"/>
      <c r="AT482" s="742"/>
      <c r="AU482" s="742"/>
      <c r="AV482" s="742"/>
      <c r="AW482" s="742"/>
    </row>
    <row r="483" spans="2:49" s="98" customFormat="1">
      <c r="B483" s="488"/>
      <c r="C483" s="738"/>
      <c r="D483" s="809"/>
      <c r="E483" s="781"/>
      <c r="F483" s="781"/>
      <c r="G483" s="781"/>
      <c r="H483" s="782"/>
      <c r="I483" s="781"/>
      <c r="J483" s="782"/>
      <c r="K483" s="781"/>
      <c r="L483" s="781"/>
      <c r="M483" s="782"/>
      <c r="N483" s="781"/>
      <c r="O483" s="782"/>
      <c r="P483" s="781"/>
      <c r="Q483" s="781"/>
      <c r="R483" s="781"/>
      <c r="S483" s="768"/>
      <c r="T483" s="768"/>
      <c r="U483" s="781"/>
      <c r="V483" s="781"/>
      <c r="W483" s="781"/>
      <c r="X483" s="781"/>
      <c r="Y483" s="781"/>
      <c r="Z483" s="781"/>
      <c r="AA483" s="781"/>
      <c r="AB483" s="781"/>
      <c r="AC483" s="740"/>
      <c r="AD483" s="740"/>
      <c r="AE483" s="764"/>
      <c r="AF483" s="764"/>
      <c r="AG483" s="741"/>
      <c r="AH483" s="739"/>
      <c r="AI483" s="742"/>
      <c r="AJ483" s="742"/>
      <c r="AK483" s="742"/>
      <c r="AL483" s="742"/>
      <c r="AM483" s="742"/>
      <c r="AN483" s="742"/>
      <c r="AO483" s="763"/>
      <c r="AP483" s="742"/>
      <c r="AQ483" s="763"/>
      <c r="AR483" s="763"/>
      <c r="AS483" s="742"/>
      <c r="AT483" s="742"/>
      <c r="AU483" s="742"/>
      <c r="AV483" s="742"/>
      <c r="AW483" s="742"/>
    </row>
    <row r="484" spans="2:49" s="98" customFormat="1">
      <c r="B484" s="488"/>
      <c r="C484" s="738"/>
      <c r="D484" s="809"/>
      <c r="E484" s="781"/>
      <c r="F484" s="781"/>
      <c r="G484" s="781"/>
      <c r="H484" s="782"/>
      <c r="I484" s="781"/>
      <c r="J484" s="782"/>
      <c r="K484" s="781"/>
      <c r="L484" s="781"/>
      <c r="M484" s="782"/>
      <c r="N484" s="781"/>
      <c r="O484" s="782"/>
      <c r="P484" s="781"/>
      <c r="Q484" s="781"/>
      <c r="R484" s="781"/>
      <c r="S484" s="768"/>
      <c r="T484" s="768"/>
      <c r="U484" s="781"/>
      <c r="V484" s="781"/>
      <c r="W484" s="781"/>
      <c r="X484" s="781"/>
      <c r="Y484" s="781"/>
      <c r="Z484" s="781"/>
      <c r="AA484" s="781"/>
      <c r="AB484" s="781"/>
      <c r="AC484" s="740"/>
      <c r="AD484" s="740"/>
      <c r="AE484" s="764"/>
      <c r="AF484" s="764"/>
      <c r="AG484" s="741"/>
      <c r="AH484" s="739"/>
      <c r="AI484" s="742"/>
      <c r="AJ484" s="742"/>
      <c r="AK484" s="742"/>
      <c r="AL484" s="742"/>
      <c r="AM484" s="742"/>
      <c r="AN484" s="742"/>
      <c r="AO484" s="763"/>
      <c r="AP484" s="742"/>
      <c r="AQ484" s="763"/>
      <c r="AR484" s="763"/>
      <c r="AS484" s="742"/>
      <c r="AT484" s="742"/>
      <c r="AU484" s="742"/>
      <c r="AV484" s="742"/>
      <c r="AW484" s="742"/>
    </row>
    <row r="485" spans="2:49" s="98" customFormat="1">
      <c r="B485" s="488"/>
      <c r="C485" s="738"/>
      <c r="D485" s="809"/>
      <c r="E485" s="781"/>
      <c r="F485" s="781"/>
      <c r="G485" s="781"/>
      <c r="H485" s="782"/>
      <c r="I485" s="781"/>
      <c r="J485" s="782"/>
      <c r="K485" s="781"/>
      <c r="L485" s="781"/>
      <c r="M485" s="782"/>
      <c r="N485" s="781"/>
      <c r="O485" s="782"/>
      <c r="P485" s="781"/>
      <c r="Q485" s="781"/>
      <c r="R485" s="781"/>
      <c r="S485" s="768"/>
      <c r="T485" s="768"/>
      <c r="U485" s="781"/>
      <c r="V485" s="781"/>
      <c r="W485" s="781"/>
      <c r="X485" s="781"/>
      <c r="Y485" s="781"/>
      <c r="Z485" s="781"/>
      <c r="AA485" s="781"/>
      <c r="AB485" s="781"/>
      <c r="AC485" s="740"/>
      <c r="AD485" s="740"/>
      <c r="AE485" s="764"/>
      <c r="AF485" s="764"/>
      <c r="AG485" s="741"/>
      <c r="AH485" s="739"/>
      <c r="AI485" s="742"/>
      <c r="AJ485" s="742"/>
      <c r="AK485" s="742"/>
      <c r="AL485" s="742"/>
      <c r="AM485" s="742"/>
      <c r="AN485" s="742"/>
      <c r="AO485" s="763"/>
      <c r="AP485" s="742"/>
      <c r="AQ485" s="763"/>
      <c r="AR485" s="763"/>
      <c r="AS485" s="742"/>
      <c r="AT485" s="742"/>
      <c r="AU485" s="742"/>
      <c r="AV485" s="742"/>
      <c r="AW485" s="742"/>
    </row>
    <row r="486" spans="2:49" s="98" customFormat="1">
      <c r="B486" s="488"/>
      <c r="C486" s="738"/>
      <c r="D486" s="809"/>
      <c r="E486" s="781"/>
      <c r="F486" s="781"/>
      <c r="G486" s="781"/>
      <c r="H486" s="782"/>
      <c r="I486" s="781"/>
      <c r="J486" s="782"/>
      <c r="K486" s="781"/>
      <c r="L486" s="781"/>
      <c r="M486" s="782"/>
      <c r="N486" s="781"/>
      <c r="O486" s="782"/>
      <c r="P486" s="781"/>
      <c r="Q486" s="781"/>
      <c r="R486" s="781"/>
      <c r="S486" s="768"/>
      <c r="T486" s="768"/>
      <c r="U486" s="781"/>
      <c r="V486" s="781"/>
      <c r="W486" s="781"/>
      <c r="X486" s="781"/>
      <c r="Y486" s="781"/>
      <c r="Z486" s="781"/>
      <c r="AA486" s="781"/>
      <c r="AB486" s="781"/>
      <c r="AC486" s="740"/>
      <c r="AD486" s="740"/>
      <c r="AE486" s="764"/>
      <c r="AF486" s="764"/>
      <c r="AG486" s="741"/>
      <c r="AH486" s="739"/>
      <c r="AI486" s="742"/>
      <c r="AJ486" s="742"/>
      <c r="AK486" s="742"/>
      <c r="AL486" s="742"/>
      <c r="AM486" s="742"/>
      <c r="AN486" s="742"/>
      <c r="AO486" s="763"/>
      <c r="AP486" s="742"/>
      <c r="AQ486" s="763"/>
      <c r="AR486" s="763"/>
      <c r="AS486" s="742"/>
      <c r="AT486" s="742"/>
      <c r="AU486" s="742"/>
      <c r="AV486" s="742"/>
      <c r="AW486" s="742"/>
    </row>
    <row r="487" spans="2:49" s="98" customFormat="1">
      <c r="B487" s="488"/>
      <c r="C487" s="738"/>
      <c r="D487" s="809"/>
      <c r="E487" s="781"/>
      <c r="F487" s="781"/>
      <c r="G487" s="781"/>
      <c r="H487" s="782"/>
      <c r="I487" s="781"/>
      <c r="J487" s="782"/>
      <c r="K487" s="781"/>
      <c r="L487" s="781"/>
      <c r="M487" s="782"/>
      <c r="N487" s="781"/>
      <c r="O487" s="782"/>
      <c r="P487" s="781"/>
      <c r="Q487" s="781"/>
      <c r="R487" s="781"/>
      <c r="S487" s="768"/>
      <c r="T487" s="768"/>
      <c r="U487" s="781"/>
      <c r="V487" s="781"/>
      <c r="W487" s="781"/>
      <c r="X487" s="781"/>
      <c r="Y487" s="781"/>
      <c r="Z487" s="781"/>
      <c r="AA487" s="781"/>
      <c r="AB487" s="781"/>
      <c r="AC487" s="740"/>
      <c r="AD487" s="740"/>
      <c r="AE487" s="764"/>
      <c r="AF487" s="764"/>
      <c r="AG487" s="741"/>
      <c r="AH487" s="739"/>
      <c r="AI487" s="742"/>
      <c r="AJ487" s="742"/>
      <c r="AK487" s="742"/>
      <c r="AL487" s="742"/>
      <c r="AM487" s="742"/>
      <c r="AN487" s="742"/>
      <c r="AO487" s="763"/>
      <c r="AP487" s="742"/>
      <c r="AQ487" s="763"/>
      <c r="AR487" s="763"/>
      <c r="AS487" s="742"/>
      <c r="AT487" s="742"/>
      <c r="AU487" s="742"/>
      <c r="AV487" s="742"/>
      <c r="AW487" s="742"/>
    </row>
    <row r="488" spans="2:49" s="98" customFormat="1">
      <c r="B488" s="488"/>
      <c r="C488" s="738"/>
      <c r="D488" s="809"/>
      <c r="E488" s="781"/>
      <c r="F488" s="781"/>
      <c r="G488" s="781"/>
      <c r="H488" s="782"/>
      <c r="I488" s="781"/>
      <c r="J488" s="782"/>
      <c r="K488" s="781"/>
      <c r="L488" s="781"/>
      <c r="M488" s="782"/>
      <c r="N488" s="781"/>
      <c r="O488" s="782"/>
      <c r="P488" s="781"/>
      <c r="Q488" s="781"/>
      <c r="R488" s="781"/>
      <c r="S488" s="768"/>
      <c r="T488" s="768"/>
      <c r="U488" s="781"/>
      <c r="V488" s="781"/>
      <c r="W488" s="781"/>
      <c r="X488" s="781"/>
      <c r="Y488" s="781"/>
      <c r="Z488" s="781"/>
      <c r="AA488" s="781"/>
      <c r="AB488" s="781"/>
      <c r="AC488" s="740"/>
      <c r="AD488" s="740"/>
      <c r="AE488" s="764"/>
      <c r="AF488" s="764"/>
      <c r="AG488" s="741"/>
      <c r="AH488" s="739"/>
      <c r="AI488" s="742"/>
      <c r="AJ488" s="742"/>
      <c r="AK488" s="742"/>
      <c r="AL488" s="742"/>
      <c r="AM488" s="742"/>
      <c r="AN488" s="742"/>
      <c r="AO488" s="763"/>
      <c r="AP488" s="742"/>
      <c r="AQ488" s="763"/>
      <c r="AR488" s="763"/>
      <c r="AS488" s="742"/>
      <c r="AT488" s="742"/>
      <c r="AU488" s="742"/>
      <c r="AV488" s="742"/>
      <c r="AW488" s="742"/>
    </row>
    <row r="489" spans="2:49" s="98" customFormat="1">
      <c r="B489" s="488"/>
      <c r="C489" s="738"/>
      <c r="D489" s="809"/>
      <c r="E489" s="781"/>
      <c r="F489" s="781"/>
      <c r="G489" s="781"/>
      <c r="H489" s="782"/>
      <c r="I489" s="781"/>
      <c r="J489" s="782"/>
      <c r="K489" s="781"/>
      <c r="L489" s="781"/>
      <c r="M489" s="782"/>
      <c r="N489" s="781"/>
      <c r="O489" s="782"/>
      <c r="P489" s="781"/>
      <c r="Q489" s="781"/>
      <c r="R489" s="781"/>
      <c r="S489" s="768"/>
      <c r="T489" s="768"/>
      <c r="U489" s="781"/>
      <c r="V489" s="781"/>
      <c r="W489" s="781"/>
      <c r="X489" s="781"/>
      <c r="Y489" s="781"/>
      <c r="Z489" s="781"/>
      <c r="AA489" s="781"/>
      <c r="AB489" s="781"/>
      <c r="AC489" s="740"/>
      <c r="AD489" s="740"/>
      <c r="AE489" s="764"/>
      <c r="AF489" s="764"/>
      <c r="AG489" s="741"/>
      <c r="AH489" s="739"/>
      <c r="AI489" s="742"/>
      <c r="AJ489" s="742"/>
      <c r="AK489" s="742"/>
      <c r="AL489" s="742"/>
      <c r="AM489" s="742"/>
      <c r="AN489" s="742"/>
      <c r="AO489" s="763"/>
      <c r="AP489" s="742"/>
      <c r="AQ489" s="763"/>
      <c r="AR489" s="763"/>
      <c r="AS489" s="742"/>
      <c r="AT489" s="742"/>
      <c r="AU489" s="742"/>
      <c r="AV489" s="742"/>
      <c r="AW489" s="742"/>
    </row>
    <row r="490" spans="2:49" s="98" customFormat="1">
      <c r="B490" s="488"/>
      <c r="C490" s="738"/>
      <c r="D490" s="809"/>
      <c r="E490" s="781"/>
      <c r="F490" s="781"/>
      <c r="G490" s="781"/>
      <c r="H490" s="782"/>
      <c r="I490" s="781"/>
      <c r="J490" s="782"/>
      <c r="K490" s="781"/>
      <c r="L490" s="781"/>
      <c r="M490" s="782"/>
      <c r="N490" s="781"/>
      <c r="O490" s="782"/>
      <c r="P490" s="781"/>
      <c r="Q490" s="781"/>
      <c r="R490" s="781"/>
      <c r="S490" s="768"/>
      <c r="T490" s="768"/>
      <c r="U490" s="781"/>
      <c r="V490" s="781"/>
      <c r="W490" s="781"/>
      <c r="X490" s="781"/>
      <c r="Y490" s="781"/>
      <c r="Z490" s="781"/>
      <c r="AA490" s="781"/>
      <c r="AB490" s="781"/>
      <c r="AC490" s="740"/>
      <c r="AD490" s="740"/>
      <c r="AE490" s="764"/>
      <c r="AF490" s="764"/>
      <c r="AG490" s="741"/>
      <c r="AH490" s="739"/>
      <c r="AI490" s="742"/>
      <c r="AJ490" s="742"/>
      <c r="AK490" s="742"/>
      <c r="AL490" s="742"/>
      <c r="AM490" s="742"/>
      <c r="AN490" s="742"/>
      <c r="AO490" s="763"/>
      <c r="AP490" s="742"/>
      <c r="AQ490" s="763"/>
      <c r="AR490" s="763"/>
      <c r="AS490" s="742"/>
      <c r="AT490" s="742"/>
      <c r="AU490" s="742"/>
      <c r="AV490" s="742"/>
      <c r="AW490" s="742"/>
    </row>
    <row r="491" spans="2:49" s="98" customFormat="1">
      <c r="B491" s="488"/>
      <c r="C491" s="738"/>
      <c r="D491" s="809"/>
      <c r="E491" s="781"/>
      <c r="F491" s="781"/>
      <c r="G491" s="781"/>
      <c r="H491" s="782"/>
      <c r="I491" s="781"/>
      <c r="J491" s="782"/>
      <c r="K491" s="781"/>
      <c r="L491" s="781"/>
      <c r="M491" s="782"/>
      <c r="N491" s="781"/>
      <c r="O491" s="782"/>
      <c r="P491" s="781"/>
      <c r="Q491" s="781"/>
      <c r="R491" s="781"/>
      <c r="S491" s="768"/>
      <c r="T491" s="768"/>
      <c r="U491" s="781"/>
      <c r="V491" s="781"/>
      <c r="W491" s="781"/>
      <c r="X491" s="781"/>
      <c r="Y491" s="781"/>
      <c r="Z491" s="781"/>
      <c r="AA491" s="781"/>
      <c r="AB491" s="781"/>
      <c r="AC491" s="740"/>
      <c r="AD491" s="740"/>
      <c r="AE491" s="764"/>
      <c r="AF491" s="764"/>
      <c r="AG491" s="741"/>
      <c r="AH491" s="739"/>
      <c r="AI491" s="742"/>
      <c r="AJ491" s="742"/>
      <c r="AK491" s="742"/>
      <c r="AL491" s="742"/>
      <c r="AM491" s="742"/>
      <c r="AN491" s="742"/>
      <c r="AO491" s="763"/>
      <c r="AP491" s="742"/>
      <c r="AQ491" s="763"/>
      <c r="AR491" s="763"/>
      <c r="AS491" s="742"/>
      <c r="AT491" s="742"/>
      <c r="AU491" s="742"/>
      <c r="AV491" s="742"/>
      <c r="AW491" s="742"/>
    </row>
    <row r="492" spans="2:49" s="98" customFormat="1">
      <c r="B492" s="488"/>
      <c r="C492" s="738"/>
      <c r="D492" s="809"/>
      <c r="E492" s="781"/>
      <c r="F492" s="781"/>
      <c r="G492" s="781"/>
      <c r="H492" s="782"/>
      <c r="I492" s="781"/>
      <c r="J492" s="782"/>
      <c r="K492" s="781"/>
      <c r="L492" s="781"/>
      <c r="M492" s="782"/>
      <c r="N492" s="781"/>
      <c r="O492" s="782"/>
      <c r="P492" s="781"/>
      <c r="Q492" s="781"/>
      <c r="R492" s="781"/>
      <c r="S492" s="768"/>
      <c r="T492" s="768"/>
      <c r="U492" s="781"/>
      <c r="V492" s="781"/>
      <c r="W492" s="781"/>
      <c r="X492" s="781"/>
      <c r="Y492" s="781"/>
      <c r="Z492" s="781"/>
      <c r="AA492" s="781"/>
      <c r="AB492" s="781"/>
      <c r="AC492" s="740"/>
      <c r="AD492" s="740"/>
      <c r="AE492" s="764"/>
      <c r="AF492" s="764"/>
      <c r="AG492" s="741"/>
      <c r="AH492" s="739"/>
      <c r="AI492" s="742"/>
      <c r="AJ492" s="742"/>
      <c r="AK492" s="742"/>
      <c r="AL492" s="742"/>
      <c r="AM492" s="742"/>
      <c r="AN492" s="742"/>
      <c r="AO492" s="763"/>
      <c r="AP492" s="742"/>
      <c r="AQ492" s="763"/>
      <c r="AR492" s="763"/>
      <c r="AS492" s="742"/>
      <c r="AT492" s="742"/>
      <c r="AU492" s="742"/>
      <c r="AV492" s="742"/>
      <c r="AW492" s="742"/>
    </row>
    <row r="493" spans="2:49" s="98" customFormat="1">
      <c r="B493" s="488"/>
      <c r="C493" s="738"/>
      <c r="D493" s="809"/>
      <c r="E493" s="781"/>
      <c r="F493" s="781"/>
      <c r="G493" s="781"/>
      <c r="H493" s="782"/>
      <c r="I493" s="781"/>
      <c r="J493" s="782"/>
      <c r="K493" s="781"/>
      <c r="L493" s="781"/>
      <c r="M493" s="782"/>
      <c r="N493" s="781"/>
      <c r="O493" s="782"/>
      <c r="P493" s="781"/>
      <c r="Q493" s="781"/>
      <c r="R493" s="781"/>
      <c r="S493" s="768"/>
      <c r="T493" s="768"/>
      <c r="U493" s="781"/>
      <c r="V493" s="781"/>
      <c r="W493" s="781"/>
      <c r="X493" s="781"/>
      <c r="Y493" s="781"/>
      <c r="Z493" s="781"/>
      <c r="AA493" s="781"/>
      <c r="AB493" s="781"/>
      <c r="AC493" s="740"/>
      <c r="AD493" s="740"/>
      <c r="AE493" s="764"/>
      <c r="AF493" s="764"/>
      <c r="AG493" s="741"/>
      <c r="AH493" s="739"/>
      <c r="AI493" s="742"/>
      <c r="AJ493" s="742"/>
      <c r="AK493" s="742"/>
      <c r="AL493" s="742"/>
      <c r="AM493" s="742"/>
      <c r="AN493" s="742"/>
      <c r="AO493" s="763"/>
      <c r="AP493" s="742"/>
      <c r="AQ493" s="763"/>
      <c r="AR493" s="763"/>
      <c r="AS493" s="742"/>
      <c r="AT493" s="742"/>
      <c r="AU493" s="742"/>
      <c r="AV493" s="742"/>
      <c r="AW493" s="742"/>
    </row>
    <row r="494" spans="2:49" s="98" customFormat="1">
      <c r="B494" s="488"/>
      <c r="C494" s="738"/>
      <c r="D494" s="809"/>
      <c r="E494" s="781"/>
      <c r="F494" s="781"/>
      <c r="G494" s="781"/>
      <c r="H494" s="782"/>
      <c r="I494" s="781"/>
      <c r="J494" s="782"/>
      <c r="K494" s="781"/>
      <c r="L494" s="781"/>
      <c r="M494" s="782"/>
      <c r="N494" s="781"/>
      <c r="O494" s="782"/>
      <c r="P494" s="781"/>
      <c r="Q494" s="781"/>
      <c r="R494" s="781"/>
      <c r="S494" s="768"/>
      <c r="T494" s="768"/>
      <c r="U494" s="781"/>
      <c r="V494" s="781"/>
      <c r="W494" s="781"/>
      <c r="X494" s="781"/>
      <c r="Y494" s="781"/>
      <c r="Z494" s="781"/>
      <c r="AA494" s="781"/>
      <c r="AB494" s="781"/>
      <c r="AC494" s="740"/>
      <c r="AD494" s="740"/>
      <c r="AE494" s="764"/>
      <c r="AF494" s="764"/>
      <c r="AG494" s="741"/>
      <c r="AH494" s="739"/>
      <c r="AI494" s="742"/>
      <c r="AJ494" s="742"/>
      <c r="AK494" s="742"/>
      <c r="AL494" s="742"/>
      <c r="AM494" s="742"/>
      <c r="AN494" s="742"/>
      <c r="AO494" s="763"/>
      <c r="AP494" s="742"/>
      <c r="AQ494" s="763"/>
      <c r="AR494" s="763"/>
      <c r="AS494" s="742"/>
      <c r="AT494" s="742"/>
      <c r="AU494" s="742"/>
      <c r="AV494" s="742"/>
      <c r="AW494" s="742"/>
    </row>
    <row r="495" spans="2:49" s="98" customFormat="1">
      <c r="B495" s="488"/>
      <c r="C495" s="738"/>
      <c r="D495" s="809"/>
      <c r="E495" s="781"/>
      <c r="F495" s="781"/>
      <c r="G495" s="781"/>
      <c r="H495" s="782"/>
      <c r="I495" s="781"/>
      <c r="J495" s="782"/>
      <c r="K495" s="781"/>
      <c r="L495" s="781"/>
      <c r="M495" s="782"/>
      <c r="N495" s="781"/>
      <c r="O495" s="782"/>
      <c r="P495" s="781"/>
      <c r="Q495" s="781"/>
      <c r="R495" s="781"/>
      <c r="S495" s="768"/>
      <c r="T495" s="768"/>
      <c r="U495" s="781"/>
      <c r="V495" s="781"/>
      <c r="W495" s="781"/>
      <c r="X495" s="781"/>
      <c r="Y495" s="781"/>
      <c r="Z495" s="781"/>
      <c r="AA495" s="781"/>
      <c r="AB495" s="781"/>
      <c r="AC495" s="740"/>
      <c r="AD495" s="740"/>
      <c r="AE495" s="764"/>
      <c r="AF495" s="764"/>
      <c r="AG495" s="741"/>
      <c r="AH495" s="739"/>
      <c r="AI495" s="742"/>
      <c r="AJ495" s="742"/>
      <c r="AK495" s="742"/>
      <c r="AL495" s="742"/>
      <c r="AM495" s="742"/>
      <c r="AN495" s="742"/>
      <c r="AO495" s="763"/>
      <c r="AP495" s="742"/>
      <c r="AQ495" s="763"/>
      <c r="AR495" s="763"/>
      <c r="AS495" s="742"/>
      <c r="AT495" s="742"/>
      <c r="AU495" s="742"/>
      <c r="AV495" s="742"/>
      <c r="AW495" s="742"/>
    </row>
    <row r="496" spans="2:49" s="98" customFormat="1">
      <c r="B496" s="488"/>
      <c r="C496" s="738"/>
      <c r="D496" s="809"/>
      <c r="E496" s="781"/>
      <c r="F496" s="781"/>
      <c r="G496" s="781"/>
      <c r="H496" s="782"/>
      <c r="I496" s="781"/>
      <c r="J496" s="782"/>
      <c r="K496" s="781"/>
      <c r="L496" s="781"/>
      <c r="M496" s="782"/>
      <c r="N496" s="781"/>
      <c r="O496" s="782"/>
      <c r="P496" s="781"/>
      <c r="Q496" s="781"/>
      <c r="R496" s="781"/>
      <c r="S496" s="768"/>
      <c r="T496" s="768"/>
      <c r="U496" s="781"/>
      <c r="V496" s="781"/>
      <c r="W496" s="781"/>
      <c r="X496" s="781"/>
      <c r="Y496" s="781"/>
      <c r="Z496" s="781"/>
      <c r="AA496" s="781"/>
      <c r="AB496" s="781"/>
      <c r="AC496" s="740"/>
      <c r="AD496" s="740"/>
      <c r="AE496" s="764"/>
      <c r="AF496" s="764"/>
      <c r="AG496" s="741"/>
      <c r="AH496" s="739"/>
      <c r="AI496" s="742"/>
      <c r="AJ496" s="742"/>
      <c r="AK496" s="742"/>
      <c r="AL496" s="742"/>
      <c r="AM496" s="742"/>
      <c r="AN496" s="742"/>
      <c r="AO496" s="763"/>
      <c r="AP496" s="742"/>
      <c r="AQ496" s="763"/>
      <c r="AR496" s="763"/>
      <c r="AS496" s="742"/>
      <c r="AT496" s="742"/>
      <c r="AU496" s="742"/>
      <c r="AV496" s="742"/>
      <c r="AW496" s="742"/>
    </row>
    <row r="497" spans="2:49" s="98" customFormat="1">
      <c r="B497" s="488"/>
      <c r="C497" s="738"/>
      <c r="D497" s="809"/>
      <c r="E497" s="781"/>
      <c r="F497" s="781"/>
      <c r="G497" s="781"/>
      <c r="H497" s="782"/>
      <c r="I497" s="781"/>
      <c r="J497" s="782"/>
      <c r="K497" s="781"/>
      <c r="L497" s="781"/>
      <c r="M497" s="782"/>
      <c r="N497" s="781"/>
      <c r="O497" s="782"/>
      <c r="P497" s="781"/>
      <c r="Q497" s="781"/>
      <c r="R497" s="781"/>
      <c r="S497" s="768"/>
      <c r="T497" s="768"/>
      <c r="U497" s="781"/>
      <c r="V497" s="781"/>
      <c r="W497" s="781"/>
      <c r="X497" s="781"/>
      <c r="Y497" s="781"/>
      <c r="Z497" s="781"/>
      <c r="AA497" s="781"/>
      <c r="AB497" s="781"/>
      <c r="AC497" s="740"/>
      <c r="AD497" s="740"/>
      <c r="AE497" s="764"/>
      <c r="AF497" s="764"/>
      <c r="AG497" s="741"/>
      <c r="AH497" s="739"/>
      <c r="AI497" s="742"/>
      <c r="AJ497" s="742"/>
      <c r="AK497" s="742"/>
      <c r="AL497" s="742"/>
      <c r="AM497" s="742"/>
      <c r="AN497" s="742"/>
      <c r="AO497" s="763"/>
      <c r="AP497" s="742"/>
      <c r="AQ497" s="763"/>
      <c r="AR497" s="763"/>
      <c r="AS497" s="742"/>
      <c r="AT497" s="742"/>
      <c r="AU497" s="742"/>
      <c r="AV497" s="742"/>
      <c r="AW497" s="742"/>
    </row>
    <row r="498" spans="2:49" s="98" customFormat="1">
      <c r="B498" s="488"/>
      <c r="C498" s="738"/>
      <c r="D498" s="809"/>
      <c r="E498" s="781"/>
      <c r="F498" s="781"/>
      <c r="G498" s="781"/>
      <c r="H498" s="782"/>
      <c r="I498" s="781"/>
      <c r="J498" s="782"/>
      <c r="K498" s="781"/>
      <c r="L498" s="781"/>
      <c r="M498" s="782"/>
      <c r="N498" s="781"/>
      <c r="O498" s="782"/>
      <c r="P498" s="781"/>
      <c r="Q498" s="781"/>
      <c r="R498" s="781"/>
      <c r="S498" s="768"/>
      <c r="T498" s="768"/>
      <c r="U498" s="781"/>
      <c r="V498" s="781"/>
      <c r="W498" s="781"/>
      <c r="X498" s="781"/>
      <c r="Y498" s="781"/>
      <c r="Z498" s="781"/>
      <c r="AA498" s="781"/>
      <c r="AB498" s="781"/>
      <c r="AC498" s="740"/>
      <c r="AD498" s="740"/>
      <c r="AE498" s="764"/>
      <c r="AF498" s="764"/>
      <c r="AG498" s="741"/>
      <c r="AH498" s="739"/>
      <c r="AI498" s="742"/>
      <c r="AJ498" s="742"/>
      <c r="AK498" s="742"/>
      <c r="AL498" s="742"/>
      <c r="AM498" s="742"/>
      <c r="AN498" s="742"/>
      <c r="AO498" s="763"/>
      <c r="AP498" s="742"/>
      <c r="AQ498" s="763"/>
      <c r="AR498" s="763"/>
      <c r="AS498" s="742"/>
      <c r="AT498" s="742"/>
      <c r="AU498" s="742"/>
      <c r="AV498" s="742"/>
      <c r="AW498" s="742"/>
    </row>
    <row r="499" spans="2:49" s="98" customFormat="1">
      <c r="B499" s="488"/>
      <c r="C499" s="738"/>
      <c r="D499" s="809"/>
      <c r="E499" s="781"/>
      <c r="F499" s="781"/>
      <c r="G499" s="781"/>
      <c r="H499" s="782"/>
      <c r="I499" s="781"/>
      <c r="J499" s="782"/>
      <c r="K499" s="781"/>
      <c r="L499" s="781"/>
      <c r="M499" s="782"/>
      <c r="N499" s="781"/>
      <c r="O499" s="782"/>
      <c r="P499" s="781"/>
      <c r="Q499" s="781"/>
      <c r="R499" s="781"/>
      <c r="S499" s="768"/>
      <c r="T499" s="768"/>
      <c r="U499" s="781"/>
      <c r="V499" s="781"/>
      <c r="W499" s="781"/>
      <c r="X499" s="781"/>
      <c r="Y499" s="781"/>
      <c r="Z499" s="781"/>
      <c r="AA499" s="781"/>
      <c r="AB499" s="781"/>
      <c r="AC499" s="740"/>
      <c r="AD499" s="740"/>
      <c r="AE499" s="764"/>
      <c r="AF499" s="764"/>
      <c r="AG499" s="741"/>
      <c r="AH499" s="739"/>
      <c r="AI499" s="742"/>
      <c r="AJ499" s="742"/>
      <c r="AK499" s="742"/>
      <c r="AL499" s="742"/>
      <c r="AM499" s="742"/>
      <c r="AN499" s="742"/>
      <c r="AO499" s="763"/>
      <c r="AP499" s="742"/>
      <c r="AQ499" s="763"/>
      <c r="AR499" s="763"/>
      <c r="AS499" s="742"/>
      <c r="AT499" s="742"/>
      <c r="AU499" s="742"/>
      <c r="AV499" s="742"/>
      <c r="AW499" s="742"/>
    </row>
    <row r="500" spans="2:49" s="98" customFormat="1">
      <c r="B500" s="488"/>
      <c r="C500" s="738"/>
      <c r="D500" s="809"/>
      <c r="E500" s="781"/>
      <c r="F500" s="781"/>
      <c r="G500" s="781"/>
      <c r="H500" s="782"/>
      <c r="I500" s="781"/>
      <c r="J500" s="782"/>
      <c r="K500" s="781"/>
      <c r="L500" s="781"/>
      <c r="M500" s="782"/>
      <c r="N500" s="781"/>
      <c r="O500" s="782"/>
      <c r="P500" s="781"/>
      <c r="Q500" s="781"/>
      <c r="R500" s="781"/>
      <c r="S500" s="768"/>
      <c r="T500" s="768"/>
      <c r="U500" s="781"/>
      <c r="V500" s="781"/>
      <c r="W500" s="781"/>
      <c r="X500" s="781"/>
      <c r="Y500" s="781"/>
      <c r="Z500" s="781"/>
      <c r="AA500" s="781"/>
      <c r="AB500" s="781"/>
      <c r="AC500" s="740"/>
      <c r="AD500" s="740"/>
      <c r="AE500" s="764"/>
      <c r="AF500" s="764"/>
      <c r="AG500" s="741"/>
      <c r="AH500" s="739"/>
      <c r="AI500" s="742"/>
      <c r="AJ500" s="742"/>
      <c r="AK500" s="742"/>
      <c r="AL500" s="742"/>
      <c r="AM500" s="742"/>
      <c r="AN500" s="742"/>
      <c r="AO500" s="763"/>
      <c r="AP500" s="742"/>
      <c r="AQ500" s="763"/>
      <c r="AR500" s="763"/>
      <c r="AS500" s="742"/>
      <c r="AT500" s="742"/>
      <c r="AU500" s="742"/>
      <c r="AV500" s="742"/>
      <c r="AW500" s="742"/>
    </row>
    <row r="501" spans="2:49" s="98" customFormat="1">
      <c r="B501" s="488"/>
      <c r="C501" s="738"/>
      <c r="D501" s="809"/>
      <c r="E501" s="781"/>
      <c r="F501" s="781"/>
      <c r="G501" s="781"/>
      <c r="H501" s="782"/>
      <c r="I501" s="781"/>
      <c r="J501" s="782"/>
      <c r="K501" s="781"/>
      <c r="L501" s="781"/>
      <c r="M501" s="782"/>
      <c r="N501" s="781"/>
      <c r="O501" s="782"/>
      <c r="P501" s="781"/>
      <c r="Q501" s="781"/>
      <c r="R501" s="781"/>
      <c r="S501" s="768"/>
      <c r="T501" s="768"/>
      <c r="U501" s="781"/>
      <c r="V501" s="781"/>
      <c r="W501" s="781"/>
      <c r="X501" s="781"/>
      <c r="Y501" s="781"/>
      <c r="Z501" s="781"/>
      <c r="AA501" s="781"/>
      <c r="AB501" s="781"/>
      <c r="AC501" s="740"/>
      <c r="AD501" s="740"/>
      <c r="AE501" s="764"/>
      <c r="AF501" s="764"/>
      <c r="AG501" s="741"/>
      <c r="AH501" s="739"/>
      <c r="AI501" s="742"/>
      <c r="AJ501" s="742"/>
      <c r="AK501" s="742"/>
      <c r="AL501" s="742"/>
      <c r="AM501" s="742"/>
      <c r="AN501" s="742"/>
      <c r="AO501" s="763"/>
      <c r="AP501" s="742"/>
      <c r="AQ501" s="763"/>
      <c r="AR501" s="763"/>
      <c r="AS501" s="742"/>
      <c r="AT501" s="742"/>
      <c r="AU501" s="742"/>
      <c r="AV501" s="742"/>
      <c r="AW501" s="742"/>
    </row>
    <row r="502" spans="2:49" s="98" customFormat="1">
      <c r="B502" s="488"/>
      <c r="C502" s="738"/>
      <c r="D502" s="809"/>
      <c r="E502" s="781"/>
      <c r="F502" s="781"/>
      <c r="G502" s="781"/>
      <c r="H502" s="782"/>
      <c r="I502" s="781"/>
      <c r="J502" s="782"/>
      <c r="K502" s="781"/>
      <c r="L502" s="781"/>
      <c r="M502" s="782"/>
      <c r="N502" s="781"/>
      <c r="O502" s="782"/>
      <c r="P502" s="781"/>
      <c r="Q502" s="781"/>
      <c r="R502" s="781"/>
      <c r="S502" s="768"/>
      <c r="T502" s="768"/>
      <c r="U502" s="781"/>
      <c r="V502" s="781"/>
      <c r="W502" s="781"/>
      <c r="X502" s="781"/>
      <c r="Y502" s="781"/>
      <c r="Z502" s="781"/>
      <c r="AA502" s="781"/>
      <c r="AB502" s="781"/>
      <c r="AC502" s="740"/>
      <c r="AD502" s="740"/>
      <c r="AE502" s="764"/>
      <c r="AF502" s="764"/>
      <c r="AG502" s="741"/>
      <c r="AH502" s="739"/>
      <c r="AI502" s="742"/>
      <c r="AJ502" s="742"/>
      <c r="AK502" s="742"/>
      <c r="AL502" s="742"/>
      <c r="AM502" s="742"/>
      <c r="AN502" s="742"/>
      <c r="AO502" s="763"/>
      <c r="AP502" s="742"/>
      <c r="AQ502" s="763"/>
      <c r="AR502" s="763"/>
      <c r="AS502" s="742"/>
      <c r="AT502" s="742"/>
      <c r="AU502" s="742"/>
      <c r="AV502" s="742"/>
      <c r="AW502" s="742"/>
    </row>
    <row r="503" spans="2:49" s="98" customFormat="1">
      <c r="B503" s="488"/>
      <c r="C503" s="738"/>
      <c r="D503" s="809"/>
      <c r="E503" s="781"/>
      <c r="F503" s="781"/>
      <c r="G503" s="781"/>
      <c r="H503" s="782"/>
      <c r="I503" s="781"/>
      <c r="J503" s="782"/>
      <c r="K503" s="781"/>
      <c r="L503" s="781"/>
      <c r="M503" s="782"/>
      <c r="N503" s="781"/>
      <c r="O503" s="782"/>
      <c r="P503" s="781"/>
      <c r="Q503" s="781"/>
      <c r="R503" s="781"/>
      <c r="S503" s="768"/>
      <c r="T503" s="768"/>
      <c r="U503" s="781"/>
      <c r="V503" s="781"/>
      <c r="W503" s="781"/>
      <c r="X503" s="781"/>
      <c r="Y503" s="781"/>
      <c r="Z503" s="781"/>
      <c r="AA503" s="781"/>
      <c r="AB503" s="781"/>
      <c r="AC503" s="740"/>
      <c r="AD503" s="740"/>
      <c r="AE503" s="764"/>
      <c r="AF503" s="764"/>
      <c r="AG503" s="741"/>
      <c r="AH503" s="739"/>
      <c r="AI503" s="742"/>
      <c r="AJ503" s="742"/>
      <c r="AK503" s="742"/>
      <c r="AL503" s="742"/>
      <c r="AM503" s="742"/>
      <c r="AN503" s="742"/>
      <c r="AO503" s="763"/>
      <c r="AP503" s="742"/>
      <c r="AQ503" s="763"/>
      <c r="AR503" s="763"/>
      <c r="AS503" s="742"/>
      <c r="AT503" s="742"/>
      <c r="AU503" s="742"/>
      <c r="AV503" s="742"/>
      <c r="AW503" s="742"/>
    </row>
    <row r="504" spans="2:49" s="98" customFormat="1">
      <c r="B504" s="488"/>
      <c r="C504" s="738"/>
      <c r="D504" s="809"/>
      <c r="E504" s="781"/>
      <c r="F504" s="781"/>
      <c r="G504" s="781"/>
      <c r="H504" s="782"/>
      <c r="I504" s="781"/>
      <c r="J504" s="782"/>
      <c r="K504" s="781"/>
      <c r="L504" s="781"/>
      <c r="M504" s="782"/>
      <c r="N504" s="781"/>
      <c r="O504" s="782"/>
      <c r="P504" s="781"/>
      <c r="Q504" s="781"/>
      <c r="R504" s="781"/>
      <c r="S504" s="768"/>
      <c r="T504" s="768"/>
      <c r="U504" s="781"/>
      <c r="V504" s="781"/>
      <c r="W504" s="781"/>
      <c r="X504" s="781"/>
      <c r="Y504" s="781"/>
      <c r="Z504" s="781"/>
      <c r="AA504" s="781"/>
      <c r="AB504" s="781"/>
      <c r="AC504" s="740"/>
      <c r="AD504" s="740"/>
      <c r="AE504" s="764"/>
      <c r="AF504" s="764"/>
      <c r="AG504" s="741"/>
      <c r="AH504" s="739"/>
      <c r="AI504" s="742"/>
      <c r="AJ504" s="742"/>
      <c r="AK504" s="742"/>
      <c r="AL504" s="742"/>
      <c r="AM504" s="742"/>
      <c r="AN504" s="742"/>
      <c r="AO504" s="763"/>
      <c r="AP504" s="742"/>
      <c r="AQ504" s="763"/>
      <c r="AR504" s="763"/>
      <c r="AS504" s="742"/>
      <c r="AT504" s="742"/>
      <c r="AU504" s="742"/>
      <c r="AV504" s="742"/>
      <c r="AW504" s="742"/>
    </row>
    <row r="505" spans="2:49" s="98" customFormat="1">
      <c r="B505" s="488"/>
      <c r="C505" s="738"/>
      <c r="D505" s="809"/>
      <c r="E505" s="781"/>
      <c r="F505" s="781"/>
      <c r="G505" s="781"/>
      <c r="H505" s="782"/>
      <c r="I505" s="781"/>
      <c r="J505" s="782"/>
      <c r="K505" s="781"/>
      <c r="L505" s="781"/>
      <c r="M505" s="782"/>
      <c r="N505" s="781"/>
      <c r="O505" s="782"/>
      <c r="P505" s="781"/>
      <c r="Q505" s="781"/>
      <c r="R505" s="781"/>
      <c r="S505" s="768"/>
      <c r="T505" s="768"/>
      <c r="U505" s="781"/>
      <c r="V505" s="781"/>
      <c r="W505" s="781"/>
      <c r="X505" s="781"/>
      <c r="Y505" s="781"/>
      <c r="Z505" s="781"/>
      <c r="AA505" s="781"/>
      <c r="AB505" s="781"/>
      <c r="AC505" s="740"/>
      <c r="AD505" s="740"/>
      <c r="AE505" s="764"/>
      <c r="AF505" s="764"/>
      <c r="AG505" s="741"/>
      <c r="AH505" s="739"/>
      <c r="AI505" s="742"/>
      <c r="AJ505" s="742"/>
      <c r="AK505" s="742"/>
      <c r="AL505" s="742"/>
      <c r="AM505" s="742"/>
      <c r="AN505" s="742"/>
      <c r="AO505" s="763"/>
      <c r="AP505" s="742"/>
      <c r="AQ505" s="763"/>
      <c r="AR505" s="763"/>
      <c r="AS505" s="742"/>
      <c r="AT505" s="742"/>
      <c r="AU505" s="742"/>
      <c r="AV505" s="742"/>
      <c r="AW505" s="742"/>
    </row>
    <row r="506" spans="2:49" s="98" customFormat="1">
      <c r="B506" s="488"/>
      <c r="C506" s="738"/>
      <c r="D506" s="809"/>
      <c r="E506" s="781"/>
      <c r="F506" s="781"/>
      <c r="G506" s="781"/>
      <c r="H506" s="782"/>
      <c r="I506" s="781"/>
      <c r="J506" s="782"/>
      <c r="K506" s="781"/>
      <c r="L506" s="781"/>
      <c r="M506" s="782"/>
      <c r="N506" s="781"/>
      <c r="O506" s="782"/>
      <c r="P506" s="781"/>
      <c r="Q506" s="781"/>
      <c r="R506" s="781"/>
      <c r="S506" s="768"/>
      <c r="T506" s="768"/>
      <c r="U506" s="781"/>
      <c r="V506" s="781"/>
      <c r="W506" s="781"/>
      <c r="X506" s="781"/>
      <c r="Y506" s="781"/>
      <c r="Z506" s="781"/>
      <c r="AA506" s="781"/>
      <c r="AB506" s="781"/>
      <c r="AC506" s="740"/>
      <c r="AD506" s="740"/>
      <c r="AE506" s="764"/>
      <c r="AF506" s="764"/>
      <c r="AG506" s="741"/>
      <c r="AH506" s="739"/>
      <c r="AI506" s="742"/>
      <c r="AJ506" s="742"/>
      <c r="AK506" s="742"/>
      <c r="AL506" s="742"/>
      <c r="AM506" s="742"/>
      <c r="AN506" s="742"/>
      <c r="AO506" s="763"/>
      <c r="AP506" s="742"/>
      <c r="AQ506" s="763"/>
      <c r="AR506" s="763"/>
      <c r="AS506" s="742"/>
      <c r="AT506" s="742"/>
      <c r="AU506" s="742"/>
      <c r="AV506" s="742"/>
      <c r="AW506" s="742"/>
    </row>
    <row r="507" spans="2:49" s="98" customFormat="1">
      <c r="B507" s="488"/>
      <c r="C507" s="738"/>
      <c r="D507" s="809"/>
      <c r="E507" s="781"/>
      <c r="F507" s="781"/>
      <c r="G507" s="781"/>
      <c r="H507" s="782"/>
      <c r="I507" s="781"/>
      <c r="J507" s="782"/>
      <c r="K507" s="781"/>
      <c r="L507" s="781"/>
      <c r="M507" s="782"/>
      <c r="N507" s="781"/>
      <c r="O507" s="782"/>
      <c r="P507" s="781"/>
      <c r="Q507" s="781"/>
      <c r="R507" s="781"/>
      <c r="S507" s="768"/>
      <c r="T507" s="768"/>
      <c r="U507" s="781"/>
      <c r="V507" s="781"/>
      <c r="W507" s="781"/>
      <c r="X507" s="781"/>
      <c r="Y507" s="781"/>
      <c r="Z507" s="781"/>
      <c r="AA507" s="781"/>
      <c r="AB507" s="781"/>
      <c r="AC507" s="740"/>
      <c r="AD507" s="740"/>
      <c r="AE507" s="764"/>
      <c r="AF507" s="764"/>
      <c r="AG507" s="741"/>
      <c r="AH507" s="739"/>
      <c r="AI507" s="742"/>
      <c r="AJ507" s="742"/>
      <c r="AK507" s="742"/>
      <c r="AL507" s="742"/>
      <c r="AM507" s="742"/>
      <c r="AN507" s="742"/>
      <c r="AO507" s="763"/>
      <c r="AP507" s="742"/>
      <c r="AQ507" s="763"/>
      <c r="AR507" s="763"/>
      <c r="AS507" s="742"/>
      <c r="AT507" s="742"/>
      <c r="AU507" s="742"/>
      <c r="AV507" s="742"/>
      <c r="AW507" s="742"/>
    </row>
    <row r="508" spans="2:49" s="98" customFormat="1">
      <c r="B508" s="488"/>
      <c r="C508" s="738"/>
      <c r="D508" s="809"/>
      <c r="E508" s="781"/>
      <c r="F508" s="781"/>
      <c r="G508" s="781"/>
      <c r="H508" s="782"/>
      <c r="I508" s="781"/>
      <c r="J508" s="782"/>
      <c r="K508" s="781"/>
      <c r="L508" s="781"/>
      <c r="M508" s="782"/>
      <c r="N508" s="781"/>
      <c r="O508" s="782"/>
      <c r="P508" s="781"/>
      <c r="Q508" s="781"/>
      <c r="R508" s="781"/>
      <c r="S508" s="768"/>
      <c r="T508" s="768"/>
      <c r="U508" s="781"/>
      <c r="V508" s="781"/>
      <c r="W508" s="781"/>
      <c r="X508" s="781"/>
      <c r="Y508" s="781"/>
      <c r="Z508" s="781"/>
      <c r="AA508" s="781"/>
      <c r="AB508" s="781"/>
      <c r="AC508" s="740"/>
      <c r="AD508" s="740"/>
      <c r="AE508" s="764"/>
      <c r="AF508" s="764"/>
      <c r="AG508" s="741"/>
      <c r="AH508" s="739"/>
      <c r="AI508" s="742"/>
      <c r="AJ508" s="742"/>
      <c r="AK508" s="742"/>
      <c r="AL508" s="742"/>
      <c r="AM508" s="742"/>
      <c r="AN508" s="742"/>
      <c r="AO508" s="763"/>
      <c r="AP508" s="742"/>
      <c r="AQ508" s="763"/>
      <c r="AR508" s="763"/>
      <c r="AS508" s="742"/>
      <c r="AT508" s="742"/>
      <c r="AU508" s="742"/>
      <c r="AV508" s="742"/>
      <c r="AW508" s="742"/>
    </row>
    <row r="509" spans="2:49" s="98" customFormat="1">
      <c r="B509" s="488"/>
      <c r="C509" s="738"/>
      <c r="D509" s="809"/>
      <c r="E509" s="781"/>
      <c r="F509" s="781"/>
      <c r="G509" s="781"/>
      <c r="H509" s="782"/>
      <c r="I509" s="781"/>
      <c r="J509" s="782"/>
      <c r="K509" s="781"/>
      <c r="L509" s="781"/>
      <c r="M509" s="782"/>
      <c r="N509" s="781"/>
      <c r="O509" s="782"/>
      <c r="P509" s="781"/>
      <c r="Q509" s="781"/>
      <c r="R509" s="781"/>
      <c r="S509" s="768"/>
      <c r="T509" s="768"/>
      <c r="U509" s="781"/>
      <c r="V509" s="781"/>
      <c r="W509" s="781"/>
      <c r="X509" s="781"/>
      <c r="Y509" s="781"/>
      <c r="Z509" s="781"/>
      <c r="AA509" s="781"/>
      <c r="AB509" s="781"/>
      <c r="AC509" s="740"/>
      <c r="AD509" s="740"/>
      <c r="AE509" s="764"/>
      <c r="AF509" s="764"/>
      <c r="AG509" s="741"/>
      <c r="AH509" s="739"/>
      <c r="AI509" s="742"/>
      <c r="AJ509" s="742"/>
      <c r="AK509" s="742"/>
      <c r="AL509" s="742"/>
      <c r="AM509" s="742"/>
      <c r="AN509" s="742"/>
      <c r="AO509" s="763"/>
      <c r="AP509" s="742"/>
      <c r="AQ509" s="763"/>
      <c r="AR509" s="763"/>
      <c r="AS509" s="742"/>
      <c r="AT509" s="742"/>
      <c r="AU509" s="742"/>
      <c r="AV509" s="742"/>
      <c r="AW509" s="742"/>
    </row>
    <row r="510" spans="2:49" s="98" customFormat="1">
      <c r="B510" s="488"/>
      <c r="C510" s="738"/>
      <c r="D510" s="809"/>
      <c r="E510" s="781"/>
      <c r="F510" s="781"/>
      <c r="G510" s="781"/>
      <c r="H510" s="782"/>
      <c r="I510" s="781"/>
      <c r="J510" s="782"/>
      <c r="K510" s="781"/>
      <c r="L510" s="781"/>
      <c r="M510" s="782"/>
      <c r="N510" s="781"/>
      <c r="O510" s="782"/>
      <c r="P510" s="781"/>
      <c r="Q510" s="781"/>
      <c r="R510" s="781"/>
      <c r="S510" s="768"/>
      <c r="T510" s="768"/>
      <c r="U510" s="781"/>
      <c r="V510" s="781"/>
      <c r="W510" s="781"/>
      <c r="X510" s="781"/>
      <c r="Y510" s="781"/>
      <c r="Z510" s="781"/>
      <c r="AA510" s="781"/>
      <c r="AB510" s="781"/>
      <c r="AC510" s="740"/>
      <c r="AD510" s="740"/>
      <c r="AE510" s="764"/>
      <c r="AF510" s="764"/>
      <c r="AG510" s="741"/>
      <c r="AH510" s="739"/>
      <c r="AI510" s="742"/>
      <c r="AJ510" s="742"/>
      <c r="AK510" s="742"/>
      <c r="AL510" s="742"/>
      <c r="AM510" s="742"/>
      <c r="AN510" s="742"/>
      <c r="AO510" s="763"/>
      <c r="AP510" s="742"/>
      <c r="AQ510" s="763"/>
      <c r="AR510" s="763"/>
      <c r="AS510" s="742"/>
      <c r="AT510" s="742"/>
      <c r="AU510" s="742"/>
      <c r="AV510" s="742"/>
      <c r="AW510" s="742"/>
    </row>
    <row r="511" spans="2:49" s="98" customFormat="1">
      <c r="B511" s="488"/>
      <c r="C511" s="738"/>
      <c r="D511" s="809"/>
      <c r="E511" s="781"/>
      <c r="F511" s="781"/>
      <c r="G511" s="781"/>
      <c r="H511" s="782"/>
      <c r="I511" s="781"/>
      <c r="J511" s="782"/>
      <c r="K511" s="781"/>
      <c r="L511" s="781"/>
      <c r="M511" s="782"/>
      <c r="N511" s="781"/>
      <c r="O511" s="782"/>
      <c r="P511" s="781"/>
      <c r="Q511" s="781"/>
      <c r="R511" s="781"/>
      <c r="S511" s="768"/>
      <c r="T511" s="768"/>
      <c r="U511" s="781"/>
      <c r="V511" s="781"/>
      <c r="W511" s="781"/>
      <c r="X511" s="781"/>
      <c r="Y511" s="781"/>
      <c r="Z511" s="781"/>
      <c r="AA511" s="781"/>
      <c r="AB511" s="781"/>
      <c r="AC511" s="740"/>
      <c r="AD511" s="740"/>
      <c r="AE511" s="764"/>
      <c r="AF511" s="764"/>
      <c r="AG511" s="741"/>
      <c r="AH511" s="739"/>
      <c r="AI511" s="742"/>
      <c r="AJ511" s="742"/>
      <c r="AK511" s="742"/>
      <c r="AL511" s="742"/>
      <c r="AM511" s="742"/>
      <c r="AN511" s="742"/>
      <c r="AO511" s="763"/>
      <c r="AP511" s="742"/>
      <c r="AQ511" s="763"/>
      <c r="AR511" s="763"/>
      <c r="AS511" s="742"/>
      <c r="AT511" s="742"/>
      <c r="AU511" s="742"/>
      <c r="AV511" s="742"/>
      <c r="AW511" s="742"/>
    </row>
    <row r="512" spans="2:49" s="98" customFormat="1">
      <c r="B512" s="488"/>
      <c r="C512" s="738"/>
      <c r="D512" s="809"/>
      <c r="E512" s="781"/>
      <c r="F512" s="781"/>
      <c r="G512" s="781"/>
      <c r="H512" s="782"/>
      <c r="I512" s="781"/>
      <c r="J512" s="782"/>
      <c r="K512" s="781"/>
      <c r="L512" s="781"/>
      <c r="M512" s="782"/>
      <c r="N512" s="781"/>
      <c r="O512" s="782"/>
      <c r="P512" s="781"/>
      <c r="Q512" s="781"/>
      <c r="R512" s="781"/>
      <c r="S512" s="768"/>
      <c r="T512" s="768"/>
      <c r="U512" s="781"/>
      <c r="V512" s="781"/>
      <c r="W512" s="781"/>
      <c r="X512" s="781"/>
      <c r="Y512" s="781"/>
      <c r="Z512" s="781"/>
      <c r="AA512" s="781"/>
      <c r="AB512" s="781"/>
      <c r="AC512" s="740"/>
      <c r="AD512" s="740"/>
      <c r="AE512" s="764"/>
      <c r="AF512" s="764"/>
      <c r="AG512" s="741"/>
      <c r="AH512" s="739"/>
      <c r="AI512" s="742"/>
      <c r="AJ512" s="742"/>
      <c r="AK512" s="742"/>
      <c r="AL512" s="742"/>
      <c r="AM512" s="742"/>
      <c r="AN512" s="742"/>
      <c r="AO512" s="763"/>
      <c r="AP512" s="742"/>
      <c r="AQ512" s="763"/>
      <c r="AR512" s="763"/>
      <c r="AS512" s="742"/>
      <c r="AT512" s="742"/>
      <c r="AU512" s="742"/>
      <c r="AV512" s="742"/>
      <c r="AW512" s="742"/>
    </row>
    <row r="513" spans="2:49" s="98" customFormat="1">
      <c r="B513" s="488"/>
      <c r="C513" s="738"/>
      <c r="D513" s="809"/>
      <c r="E513" s="781"/>
      <c r="F513" s="781"/>
      <c r="G513" s="781"/>
      <c r="H513" s="782"/>
      <c r="I513" s="781"/>
      <c r="J513" s="782"/>
      <c r="K513" s="781"/>
      <c r="L513" s="781"/>
      <c r="M513" s="782"/>
      <c r="N513" s="781"/>
      <c r="O513" s="782"/>
      <c r="P513" s="781"/>
      <c r="Q513" s="781"/>
      <c r="R513" s="781"/>
      <c r="S513" s="768"/>
      <c r="T513" s="768"/>
      <c r="U513" s="781"/>
      <c r="V513" s="781"/>
      <c r="W513" s="781"/>
      <c r="X513" s="781"/>
      <c r="Y513" s="781"/>
      <c r="Z513" s="781"/>
      <c r="AA513" s="781"/>
      <c r="AB513" s="781"/>
      <c r="AC513" s="740"/>
      <c r="AD513" s="740"/>
      <c r="AE513" s="764"/>
      <c r="AF513" s="764"/>
      <c r="AG513" s="741"/>
      <c r="AH513" s="739"/>
      <c r="AI513" s="742"/>
      <c r="AJ513" s="742"/>
      <c r="AK513" s="742"/>
      <c r="AL513" s="742"/>
      <c r="AM513" s="742"/>
      <c r="AN513" s="742"/>
      <c r="AO513" s="763"/>
      <c r="AP513" s="742"/>
      <c r="AQ513" s="763"/>
      <c r="AR513" s="763"/>
      <c r="AS513" s="742"/>
      <c r="AT513" s="742"/>
      <c r="AU513" s="742"/>
      <c r="AV513" s="742"/>
      <c r="AW513" s="742"/>
    </row>
    <row r="514" spans="2:49" s="98" customFormat="1">
      <c r="B514" s="488"/>
      <c r="C514" s="738"/>
      <c r="D514" s="809"/>
      <c r="E514" s="781"/>
      <c r="F514" s="781"/>
      <c r="G514" s="781"/>
      <c r="H514" s="782"/>
      <c r="I514" s="781"/>
      <c r="J514" s="782"/>
      <c r="K514" s="781"/>
      <c r="L514" s="781"/>
      <c r="M514" s="782"/>
      <c r="N514" s="781"/>
      <c r="O514" s="782"/>
      <c r="P514" s="781"/>
      <c r="Q514" s="781"/>
      <c r="R514" s="781"/>
      <c r="S514" s="768"/>
      <c r="T514" s="768"/>
      <c r="U514" s="781"/>
      <c r="V514" s="781"/>
      <c r="W514" s="781"/>
      <c r="X514" s="781"/>
      <c r="Y514" s="781"/>
      <c r="Z514" s="781"/>
      <c r="AA514" s="781"/>
      <c r="AB514" s="781"/>
      <c r="AC514" s="740"/>
      <c r="AD514" s="740"/>
      <c r="AE514" s="764"/>
      <c r="AF514" s="764"/>
      <c r="AG514" s="741"/>
      <c r="AH514" s="739"/>
      <c r="AI514" s="742"/>
      <c r="AJ514" s="742"/>
      <c r="AK514" s="742"/>
      <c r="AL514" s="742"/>
      <c r="AM514" s="742"/>
      <c r="AN514" s="742"/>
      <c r="AO514" s="763"/>
      <c r="AP514" s="742"/>
      <c r="AQ514" s="763"/>
      <c r="AR514" s="763"/>
      <c r="AS514" s="742"/>
      <c r="AT514" s="742"/>
      <c r="AU514" s="742"/>
      <c r="AV514" s="742"/>
      <c r="AW514" s="742"/>
    </row>
    <row r="515" spans="2:49" s="98" customFormat="1">
      <c r="B515" s="488"/>
      <c r="C515" s="738"/>
      <c r="D515" s="809"/>
      <c r="E515" s="781"/>
      <c r="F515" s="781"/>
      <c r="G515" s="781"/>
      <c r="H515" s="782"/>
      <c r="I515" s="781"/>
      <c r="J515" s="782"/>
      <c r="K515" s="781"/>
      <c r="L515" s="781"/>
      <c r="M515" s="782"/>
      <c r="N515" s="781"/>
      <c r="O515" s="782"/>
      <c r="P515" s="781"/>
      <c r="Q515" s="781"/>
      <c r="R515" s="781"/>
      <c r="S515" s="768"/>
      <c r="T515" s="768"/>
      <c r="U515" s="781"/>
      <c r="V515" s="781"/>
      <c r="W515" s="781"/>
      <c r="X515" s="781"/>
      <c r="Y515" s="781"/>
      <c r="Z515" s="781"/>
      <c r="AA515" s="781"/>
      <c r="AB515" s="781"/>
      <c r="AC515" s="740"/>
      <c r="AD515" s="740"/>
      <c r="AE515" s="764"/>
      <c r="AF515" s="764"/>
      <c r="AG515" s="741"/>
      <c r="AH515" s="739"/>
      <c r="AI515" s="742"/>
      <c r="AJ515" s="742"/>
      <c r="AK515" s="742"/>
      <c r="AL515" s="742"/>
      <c r="AM515" s="742"/>
      <c r="AN515" s="742"/>
      <c r="AO515" s="763"/>
      <c r="AP515" s="742"/>
      <c r="AQ515" s="763"/>
      <c r="AR515" s="763"/>
      <c r="AS515" s="742"/>
      <c r="AT515" s="742"/>
      <c r="AU515" s="742"/>
      <c r="AV515" s="742"/>
      <c r="AW515" s="742"/>
    </row>
    <row r="516" spans="2:49" s="98" customFormat="1">
      <c r="B516" s="488"/>
      <c r="C516" s="738"/>
      <c r="D516" s="809"/>
      <c r="E516" s="781"/>
      <c r="F516" s="781"/>
      <c r="G516" s="781"/>
      <c r="H516" s="782"/>
      <c r="I516" s="781"/>
      <c r="J516" s="782"/>
      <c r="K516" s="781"/>
      <c r="L516" s="781"/>
      <c r="M516" s="782"/>
      <c r="N516" s="781"/>
      <c r="O516" s="782"/>
      <c r="P516" s="781"/>
      <c r="Q516" s="781"/>
      <c r="R516" s="781"/>
      <c r="S516" s="768"/>
      <c r="T516" s="768"/>
      <c r="U516" s="781"/>
      <c r="V516" s="781"/>
      <c r="W516" s="781"/>
      <c r="X516" s="781"/>
      <c r="Y516" s="781"/>
      <c r="Z516" s="781"/>
      <c r="AA516" s="781"/>
      <c r="AB516" s="781"/>
      <c r="AC516" s="740"/>
      <c r="AD516" s="740"/>
      <c r="AE516" s="764"/>
      <c r="AF516" s="764"/>
      <c r="AG516" s="741"/>
      <c r="AH516" s="739"/>
      <c r="AI516" s="742"/>
      <c r="AJ516" s="742"/>
      <c r="AK516" s="742"/>
      <c r="AL516" s="742"/>
      <c r="AM516" s="742"/>
      <c r="AN516" s="742"/>
      <c r="AO516" s="763"/>
      <c r="AP516" s="742"/>
      <c r="AQ516" s="763"/>
      <c r="AR516" s="763"/>
      <c r="AS516" s="742"/>
      <c r="AT516" s="742"/>
      <c r="AU516" s="742"/>
      <c r="AV516" s="742"/>
      <c r="AW516" s="742"/>
    </row>
    <row r="517" spans="2:49" s="98" customFormat="1">
      <c r="B517" s="488"/>
      <c r="C517" s="738"/>
      <c r="D517" s="809"/>
      <c r="E517" s="781"/>
      <c r="F517" s="781"/>
      <c r="G517" s="781"/>
      <c r="H517" s="782"/>
      <c r="I517" s="781"/>
      <c r="J517" s="782"/>
      <c r="K517" s="781"/>
      <c r="L517" s="781"/>
      <c r="M517" s="782"/>
      <c r="N517" s="781"/>
      <c r="O517" s="782"/>
      <c r="P517" s="781"/>
      <c r="Q517" s="781"/>
      <c r="R517" s="781"/>
      <c r="S517" s="768"/>
      <c r="T517" s="768"/>
      <c r="U517" s="781"/>
      <c r="V517" s="781"/>
      <c r="W517" s="781"/>
      <c r="X517" s="781"/>
      <c r="Y517" s="781"/>
      <c r="Z517" s="781"/>
      <c r="AA517" s="781"/>
      <c r="AB517" s="781"/>
      <c r="AC517" s="740"/>
      <c r="AD517" s="740"/>
      <c r="AE517" s="764"/>
      <c r="AF517" s="764"/>
      <c r="AG517" s="741"/>
      <c r="AH517" s="739"/>
      <c r="AI517" s="742"/>
      <c r="AJ517" s="742"/>
      <c r="AK517" s="742"/>
      <c r="AL517" s="742"/>
      <c r="AM517" s="742"/>
      <c r="AN517" s="742"/>
      <c r="AO517" s="763"/>
      <c r="AP517" s="742"/>
      <c r="AQ517" s="763"/>
      <c r="AR517" s="763"/>
      <c r="AS517" s="742"/>
      <c r="AT517" s="742"/>
      <c r="AU517" s="742"/>
      <c r="AV517" s="742"/>
      <c r="AW517" s="742"/>
    </row>
    <row r="518" spans="2:49" s="98" customFormat="1">
      <c r="B518" s="488"/>
      <c r="C518" s="738"/>
      <c r="D518" s="809"/>
      <c r="E518" s="781"/>
      <c r="F518" s="781"/>
      <c r="G518" s="781"/>
      <c r="H518" s="782"/>
      <c r="I518" s="781"/>
      <c r="J518" s="782"/>
      <c r="K518" s="781"/>
      <c r="L518" s="781"/>
      <c r="M518" s="782"/>
      <c r="N518" s="781"/>
      <c r="O518" s="782"/>
      <c r="P518" s="781"/>
      <c r="Q518" s="781"/>
      <c r="R518" s="781"/>
      <c r="S518" s="768"/>
      <c r="T518" s="768"/>
      <c r="U518" s="781"/>
      <c r="V518" s="781"/>
      <c r="W518" s="781"/>
      <c r="X518" s="781"/>
      <c r="Y518" s="781"/>
      <c r="Z518" s="781"/>
      <c r="AA518" s="781"/>
      <c r="AB518" s="781"/>
      <c r="AC518" s="740"/>
      <c r="AD518" s="740"/>
      <c r="AE518" s="764"/>
      <c r="AF518" s="764"/>
      <c r="AG518" s="741"/>
      <c r="AH518" s="739"/>
      <c r="AI518" s="742"/>
      <c r="AJ518" s="742"/>
      <c r="AK518" s="742"/>
      <c r="AL518" s="742"/>
      <c r="AM518" s="742"/>
      <c r="AN518" s="742"/>
      <c r="AO518" s="763"/>
      <c r="AP518" s="742"/>
      <c r="AQ518" s="763"/>
      <c r="AR518" s="763"/>
      <c r="AS518" s="742"/>
      <c r="AT518" s="742"/>
      <c r="AU518" s="742"/>
      <c r="AV518" s="742"/>
      <c r="AW518" s="742"/>
    </row>
    <row r="519" spans="2:49" s="98" customFormat="1">
      <c r="B519" s="488"/>
      <c r="C519" s="738"/>
      <c r="D519" s="809"/>
      <c r="E519" s="781"/>
      <c r="F519" s="781"/>
      <c r="G519" s="781"/>
      <c r="H519" s="782"/>
      <c r="I519" s="781"/>
      <c r="J519" s="782"/>
      <c r="K519" s="781"/>
      <c r="L519" s="781"/>
      <c r="M519" s="782"/>
      <c r="N519" s="781"/>
      <c r="O519" s="782"/>
      <c r="P519" s="781"/>
      <c r="Q519" s="781"/>
      <c r="R519" s="781"/>
      <c r="S519" s="768"/>
      <c r="T519" s="768"/>
      <c r="U519" s="781"/>
      <c r="V519" s="781"/>
      <c r="W519" s="781"/>
      <c r="X519" s="781"/>
      <c r="Y519" s="781"/>
      <c r="Z519" s="781"/>
      <c r="AA519" s="781"/>
      <c r="AB519" s="781"/>
      <c r="AC519" s="740"/>
      <c r="AD519" s="740"/>
      <c r="AE519" s="764"/>
      <c r="AF519" s="764"/>
      <c r="AG519" s="741"/>
      <c r="AH519" s="739"/>
      <c r="AI519" s="742"/>
      <c r="AJ519" s="742"/>
      <c r="AK519" s="742"/>
      <c r="AL519" s="742"/>
      <c r="AM519" s="742"/>
      <c r="AN519" s="742"/>
      <c r="AO519" s="763"/>
      <c r="AP519" s="742"/>
      <c r="AQ519" s="763"/>
      <c r="AR519" s="763"/>
      <c r="AS519" s="742"/>
      <c r="AT519" s="742"/>
      <c r="AU519" s="742"/>
      <c r="AV519" s="742"/>
      <c r="AW519" s="742"/>
    </row>
    <row r="520" spans="2:49" s="98" customFormat="1">
      <c r="B520" s="488"/>
      <c r="C520" s="738"/>
      <c r="D520" s="809"/>
      <c r="E520" s="781"/>
      <c r="F520" s="781"/>
      <c r="G520" s="781"/>
      <c r="H520" s="782"/>
      <c r="I520" s="781"/>
      <c r="J520" s="782"/>
      <c r="K520" s="781"/>
      <c r="L520" s="781"/>
      <c r="M520" s="782"/>
      <c r="N520" s="781"/>
      <c r="O520" s="782"/>
      <c r="P520" s="781"/>
      <c r="Q520" s="781"/>
      <c r="R520" s="781"/>
      <c r="S520" s="768"/>
      <c r="T520" s="768"/>
      <c r="U520" s="781"/>
      <c r="V520" s="781"/>
      <c r="W520" s="781"/>
      <c r="X520" s="781"/>
      <c r="Y520" s="781"/>
      <c r="Z520" s="781"/>
      <c r="AA520" s="781"/>
      <c r="AB520" s="781"/>
      <c r="AC520" s="740"/>
      <c r="AD520" s="740"/>
      <c r="AE520" s="764"/>
      <c r="AF520" s="764"/>
      <c r="AG520" s="741"/>
      <c r="AH520" s="739"/>
      <c r="AI520" s="742"/>
      <c r="AJ520" s="742"/>
      <c r="AK520" s="742"/>
      <c r="AL520" s="742"/>
      <c r="AM520" s="742"/>
      <c r="AN520" s="742"/>
      <c r="AO520" s="763"/>
      <c r="AP520" s="742"/>
      <c r="AQ520" s="763"/>
      <c r="AR520" s="763"/>
      <c r="AS520" s="742"/>
      <c r="AT520" s="742"/>
      <c r="AU520" s="742"/>
      <c r="AV520" s="742"/>
      <c r="AW520" s="742"/>
    </row>
    <row r="521" spans="2:49" s="98" customFormat="1">
      <c r="B521" s="488"/>
      <c r="C521" s="738"/>
      <c r="D521" s="809"/>
      <c r="E521" s="781"/>
      <c r="F521" s="781"/>
      <c r="G521" s="781"/>
      <c r="H521" s="782"/>
      <c r="I521" s="781"/>
      <c r="J521" s="782"/>
      <c r="K521" s="781"/>
      <c r="L521" s="781"/>
      <c r="M521" s="782"/>
      <c r="N521" s="781"/>
      <c r="O521" s="782"/>
      <c r="P521" s="781"/>
      <c r="Q521" s="781"/>
      <c r="R521" s="781"/>
      <c r="S521" s="768"/>
      <c r="T521" s="768"/>
      <c r="U521" s="781"/>
      <c r="V521" s="781"/>
      <c r="W521" s="781"/>
      <c r="X521" s="781"/>
      <c r="Y521" s="781"/>
      <c r="Z521" s="781"/>
      <c r="AA521" s="781"/>
      <c r="AB521" s="781"/>
      <c r="AC521" s="740"/>
      <c r="AD521" s="740"/>
      <c r="AE521" s="764"/>
      <c r="AF521" s="764"/>
      <c r="AG521" s="741"/>
      <c r="AH521" s="739"/>
      <c r="AI521" s="742"/>
      <c r="AJ521" s="742"/>
      <c r="AK521" s="742"/>
      <c r="AL521" s="742"/>
      <c r="AM521" s="742"/>
      <c r="AN521" s="742"/>
      <c r="AO521" s="763"/>
      <c r="AP521" s="742"/>
      <c r="AQ521" s="763"/>
      <c r="AR521" s="763"/>
      <c r="AS521" s="742"/>
      <c r="AT521" s="742"/>
      <c r="AU521" s="742"/>
      <c r="AV521" s="742"/>
      <c r="AW521" s="742"/>
    </row>
    <row r="522" spans="2:49" s="98" customFormat="1">
      <c r="B522" s="488"/>
      <c r="C522" s="738"/>
      <c r="D522" s="809"/>
      <c r="E522" s="781"/>
      <c r="F522" s="781"/>
      <c r="G522" s="781"/>
      <c r="H522" s="782"/>
      <c r="I522" s="781"/>
      <c r="J522" s="782"/>
      <c r="K522" s="781"/>
      <c r="L522" s="781"/>
      <c r="M522" s="782"/>
      <c r="N522" s="781"/>
      <c r="O522" s="782"/>
      <c r="P522" s="781"/>
      <c r="Q522" s="781"/>
      <c r="R522" s="781"/>
      <c r="S522" s="768"/>
      <c r="T522" s="768"/>
      <c r="U522" s="781"/>
      <c r="V522" s="781"/>
      <c r="W522" s="781"/>
      <c r="X522" s="781"/>
      <c r="Y522" s="781"/>
      <c r="Z522" s="781"/>
      <c r="AA522" s="781"/>
      <c r="AB522" s="781"/>
      <c r="AC522" s="740"/>
      <c r="AD522" s="740"/>
      <c r="AE522" s="764"/>
      <c r="AF522" s="764"/>
      <c r="AG522" s="741"/>
      <c r="AH522" s="739"/>
      <c r="AI522" s="742"/>
      <c r="AJ522" s="742"/>
      <c r="AK522" s="742"/>
      <c r="AL522" s="742"/>
      <c r="AM522" s="742"/>
      <c r="AN522" s="742"/>
      <c r="AO522" s="763"/>
      <c r="AP522" s="742"/>
      <c r="AQ522" s="763"/>
      <c r="AR522" s="763"/>
      <c r="AS522" s="742"/>
      <c r="AT522" s="742"/>
      <c r="AU522" s="742"/>
      <c r="AV522" s="742"/>
      <c r="AW522" s="742"/>
    </row>
    <row r="523" spans="2:49" s="98" customFormat="1">
      <c r="B523" s="488"/>
      <c r="C523" s="738"/>
      <c r="D523" s="809"/>
      <c r="E523" s="781"/>
      <c r="F523" s="781"/>
      <c r="G523" s="781"/>
      <c r="H523" s="782"/>
      <c r="I523" s="781"/>
      <c r="J523" s="782"/>
      <c r="K523" s="781"/>
      <c r="L523" s="781"/>
      <c r="M523" s="782"/>
      <c r="N523" s="781"/>
      <c r="O523" s="782"/>
      <c r="P523" s="781"/>
      <c r="Q523" s="781"/>
      <c r="R523" s="781"/>
      <c r="S523" s="768"/>
      <c r="T523" s="768"/>
      <c r="U523" s="781"/>
      <c r="V523" s="781"/>
      <c r="W523" s="781"/>
      <c r="X523" s="781"/>
      <c r="Y523" s="781"/>
      <c r="Z523" s="781"/>
      <c r="AA523" s="781"/>
      <c r="AB523" s="781"/>
      <c r="AC523" s="740"/>
      <c r="AD523" s="740"/>
      <c r="AE523" s="764"/>
      <c r="AF523" s="764"/>
      <c r="AG523" s="741"/>
      <c r="AH523" s="739"/>
      <c r="AI523" s="742"/>
      <c r="AJ523" s="742"/>
      <c r="AK523" s="742"/>
      <c r="AL523" s="742"/>
      <c r="AM523" s="742"/>
      <c r="AN523" s="742"/>
      <c r="AO523" s="763"/>
      <c r="AP523" s="742"/>
      <c r="AQ523" s="763"/>
      <c r="AR523" s="763"/>
      <c r="AS523" s="742"/>
      <c r="AT523" s="742"/>
      <c r="AU523" s="742"/>
      <c r="AV523" s="742"/>
      <c r="AW523" s="742"/>
    </row>
    <row r="524" spans="2:49" s="98" customFormat="1">
      <c r="B524" s="488"/>
      <c r="C524" s="738"/>
      <c r="D524" s="809"/>
      <c r="E524" s="781"/>
      <c r="F524" s="781"/>
      <c r="G524" s="781"/>
      <c r="H524" s="782"/>
      <c r="I524" s="781"/>
      <c r="J524" s="782"/>
      <c r="K524" s="781"/>
      <c r="L524" s="781"/>
      <c r="M524" s="782"/>
      <c r="N524" s="781"/>
      <c r="O524" s="782"/>
      <c r="P524" s="781"/>
      <c r="Q524" s="781"/>
      <c r="R524" s="781"/>
      <c r="S524" s="768"/>
      <c r="T524" s="768"/>
      <c r="U524" s="781"/>
      <c r="V524" s="781"/>
      <c r="W524" s="781"/>
      <c r="X524" s="781"/>
      <c r="Y524" s="781"/>
      <c r="Z524" s="781"/>
      <c r="AA524" s="781"/>
      <c r="AB524" s="781"/>
      <c r="AC524" s="740"/>
      <c r="AD524" s="740"/>
      <c r="AE524" s="764"/>
      <c r="AF524" s="764"/>
      <c r="AG524" s="741"/>
      <c r="AH524" s="739"/>
      <c r="AI524" s="742"/>
      <c r="AJ524" s="742"/>
      <c r="AK524" s="742"/>
      <c r="AL524" s="742"/>
      <c r="AM524" s="742"/>
      <c r="AN524" s="742"/>
      <c r="AO524" s="763"/>
      <c r="AP524" s="742"/>
      <c r="AQ524" s="763"/>
      <c r="AR524" s="763"/>
      <c r="AS524" s="742"/>
      <c r="AT524" s="742"/>
      <c r="AU524" s="742"/>
      <c r="AV524" s="742"/>
      <c r="AW524" s="742"/>
    </row>
    <row r="525" spans="2:49" s="98" customFormat="1">
      <c r="B525" s="488"/>
      <c r="C525" s="738"/>
      <c r="D525" s="809"/>
      <c r="E525" s="781"/>
      <c r="F525" s="781"/>
      <c r="G525" s="781"/>
      <c r="H525" s="782"/>
      <c r="I525" s="781"/>
      <c r="J525" s="782"/>
      <c r="K525" s="781"/>
      <c r="L525" s="781"/>
      <c r="M525" s="782"/>
      <c r="N525" s="781"/>
      <c r="O525" s="782"/>
      <c r="P525" s="781"/>
      <c r="Q525" s="781"/>
      <c r="R525" s="781"/>
      <c r="S525" s="768"/>
      <c r="T525" s="768"/>
      <c r="U525" s="781"/>
      <c r="V525" s="781"/>
      <c r="W525" s="781"/>
      <c r="X525" s="781"/>
      <c r="Y525" s="781"/>
      <c r="Z525" s="781"/>
      <c r="AA525" s="781"/>
      <c r="AB525" s="781"/>
      <c r="AC525" s="740"/>
      <c r="AD525" s="740"/>
      <c r="AE525" s="764"/>
      <c r="AF525" s="764"/>
      <c r="AG525" s="741"/>
      <c r="AH525" s="739"/>
      <c r="AI525" s="742"/>
      <c r="AJ525" s="742"/>
      <c r="AK525" s="742"/>
      <c r="AL525" s="742"/>
      <c r="AM525" s="742"/>
      <c r="AN525" s="742"/>
      <c r="AO525" s="763"/>
      <c r="AP525" s="742"/>
      <c r="AQ525" s="763"/>
      <c r="AR525" s="763"/>
      <c r="AS525" s="742"/>
      <c r="AT525" s="742"/>
      <c r="AU525" s="742"/>
      <c r="AV525" s="742"/>
      <c r="AW525" s="742"/>
    </row>
    <row r="526" spans="2:49" s="98" customFormat="1">
      <c r="B526" s="488"/>
      <c r="C526" s="738"/>
      <c r="D526" s="809"/>
      <c r="E526" s="781"/>
      <c r="F526" s="781"/>
      <c r="G526" s="781"/>
      <c r="H526" s="782"/>
      <c r="I526" s="781"/>
      <c r="J526" s="782"/>
      <c r="K526" s="781"/>
      <c r="L526" s="781"/>
      <c r="M526" s="782"/>
      <c r="N526" s="781"/>
      <c r="O526" s="782"/>
      <c r="P526" s="781"/>
      <c r="Q526" s="781"/>
      <c r="R526" s="781"/>
      <c r="S526" s="768"/>
      <c r="T526" s="768"/>
      <c r="U526" s="781"/>
      <c r="V526" s="781"/>
      <c r="W526" s="781"/>
      <c r="X526" s="781"/>
      <c r="Y526" s="781"/>
      <c r="Z526" s="781"/>
      <c r="AA526" s="781"/>
      <c r="AB526" s="781"/>
      <c r="AC526" s="740"/>
      <c r="AD526" s="740"/>
      <c r="AE526" s="764"/>
      <c r="AF526" s="764"/>
      <c r="AG526" s="741"/>
      <c r="AH526" s="739"/>
      <c r="AI526" s="742"/>
      <c r="AJ526" s="742"/>
      <c r="AK526" s="742"/>
      <c r="AL526" s="742"/>
      <c r="AM526" s="742"/>
      <c r="AN526" s="742"/>
      <c r="AO526" s="763"/>
      <c r="AP526" s="742"/>
      <c r="AQ526" s="763"/>
      <c r="AR526" s="763"/>
      <c r="AS526" s="742"/>
      <c r="AT526" s="742"/>
      <c r="AU526" s="742"/>
      <c r="AV526" s="742"/>
      <c r="AW526" s="742"/>
    </row>
    <row r="527" spans="2:49" s="98" customFormat="1">
      <c r="B527" s="488"/>
      <c r="C527" s="738"/>
      <c r="D527" s="809"/>
      <c r="E527" s="781"/>
      <c r="F527" s="781"/>
      <c r="G527" s="781"/>
      <c r="H527" s="782"/>
      <c r="I527" s="781"/>
      <c r="J527" s="782"/>
      <c r="K527" s="781"/>
      <c r="L527" s="781"/>
      <c r="M527" s="782"/>
      <c r="N527" s="781"/>
      <c r="O527" s="782"/>
      <c r="P527" s="781"/>
      <c r="Q527" s="781"/>
      <c r="R527" s="781"/>
      <c r="S527" s="768"/>
      <c r="T527" s="768"/>
      <c r="U527" s="781"/>
      <c r="V527" s="781"/>
      <c r="W527" s="781"/>
      <c r="X527" s="781"/>
      <c r="Y527" s="781"/>
      <c r="Z527" s="781"/>
      <c r="AA527" s="781"/>
      <c r="AB527" s="781"/>
      <c r="AC527" s="740"/>
      <c r="AD527" s="740"/>
      <c r="AE527" s="764"/>
      <c r="AF527" s="764"/>
      <c r="AG527" s="741"/>
      <c r="AH527" s="739"/>
      <c r="AI527" s="742"/>
      <c r="AJ527" s="742"/>
      <c r="AK527" s="742"/>
      <c r="AL527" s="742"/>
      <c r="AM527" s="742"/>
      <c r="AN527" s="742"/>
      <c r="AO527" s="763"/>
      <c r="AP527" s="742"/>
      <c r="AQ527" s="763"/>
      <c r="AR527" s="763"/>
      <c r="AS527" s="742"/>
      <c r="AT527" s="742"/>
      <c r="AU527" s="742"/>
      <c r="AV527" s="742"/>
      <c r="AW527" s="742"/>
    </row>
    <row r="528" spans="2:49" s="98" customFormat="1">
      <c r="B528" s="488"/>
      <c r="C528" s="738"/>
      <c r="D528" s="809"/>
      <c r="E528" s="781"/>
      <c r="F528" s="781"/>
      <c r="G528" s="781"/>
      <c r="H528" s="782"/>
      <c r="I528" s="781"/>
      <c r="J528" s="782"/>
      <c r="K528" s="781"/>
      <c r="L528" s="781"/>
      <c r="M528" s="782"/>
      <c r="N528" s="781"/>
      <c r="O528" s="782"/>
      <c r="P528" s="781"/>
      <c r="Q528" s="781"/>
      <c r="R528" s="781"/>
      <c r="S528" s="768"/>
      <c r="T528" s="768"/>
      <c r="U528" s="781"/>
      <c r="V528" s="781"/>
      <c r="W528" s="781"/>
      <c r="X528" s="781"/>
      <c r="Y528" s="781"/>
      <c r="Z528" s="781"/>
      <c r="AA528" s="781"/>
      <c r="AB528" s="781"/>
      <c r="AC528" s="740"/>
      <c r="AD528" s="740"/>
      <c r="AE528" s="764"/>
      <c r="AF528" s="764"/>
      <c r="AG528" s="741"/>
      <c r="AH528" s="739"/>
      <c r="AI528" s="742"/>
      <c r="AJ528" s="742"/>
      <c r="AK528" s="742"/>
      <c r="AL528" s="742"/>
      <c r="AM528" s="742"/>
      <c r="AN528" s="742"/>
      <c r="AO528" s="763"/>
      <c r="AP528" s="742"/>
      <c r="AQ528" s="763"/>
      <c r="AR528" s="763"/>
      <c r="AS528" s="742"/>
      <c r="AT528" s="742"/>
      <c r="AU528" s="742"/>
      <c r="AV528" s="742"/>
      <c r="AW528" s="742"/>
    </row>
    <row r="529" spans="2:49" s="98" customFormat="1">
      <c r="B529" s="488"/>
      <c r="C529" s="738"/>
      <c r="D529" s="809"/>
      <c r="E529" s="781"/>
      <c r="F529" s="781"/>
      <c r="G529" s="781"/>
      <c r="H529" s="782"/>
      <c r="I529" s="781"/>
      <c r="J529" s="782"/>
      <c r="K529" s="781"/>
      <c r="L529" s="781"/>
      <c r="M529" s="782"/>
      <c r="N529" s="781"/>
      <c r="O529" s="782"/>
      <c r="P529" s="781"/>
      <c r="Q529" s="781"/>
      <c r="R529" s="781"/>
      <c r="S529" s="768"/>
      <c r="T529" s="768"/>
      <c r="U529" s="781"/>
      <c r="V529" s="781"/>
      <c r="W529" s="781"/>
      <c r="X529" s="781"/>
      <c r="Y529" s="781"/>
      <c r="Z529" s="781"/>
      <c r="AA529" s="781"/>
      <c r="AB529" s="781"/>
      <c r="AC529" s="740"/>
      <c r="AD529" s="740"/>
      <c r="AE529" s="764"/>
      <c r="AF529" s="764"/>
      <c r="AG529" s="741"/>
      <c r="AH529" s="739"/>
      <c r="AI529" s="742"/>
      <c r="AJ529" s="742"/>
      <c r="AK529" s="742"/>
      <c r="AL529" s="742"/>
      <c r="AM529" s="742"/>
      <c r="AN529" s="742"/>
      <c r="AO529" s="763"/>
      <c r="AP529" s="742"/>
      <c r="AQ529" s="763"/>
      <c r="AR529" s="763"/>
      <c r="AS529" s="742"/>
      <c r="AT529" s="742"/>
      <c r="AU529" s="742"/>
      <c r="AV529" s="742"/>
      <c r="AW529" s="742"/>
    </row>
    <row r="530" spans="2:49" s="98" customFormat="1">
      <c r="B530" s="488"/>
      <c r="C530" s="738"/>
      <c r="D530" s="809"/>
      <c r="E530" s="781"/>
      <c r="F530" s="781"/>
      <c r="G530" s="781"/>
      <c r="H530" s="782"/>
      <c r="I530" s="781"/>
      <c r="J530" s="782"/>
      <c r="K530" s="781"/>
      <c r="L530" s="781"/>
      <c r="M530" s="782"/>
      <c r="N530" s="781"/>
      <c r="O530" s="782"/>
      <c r="P530" s="781"/>
      <c r="Q530" s="781"/>
      <c r="R530" s="781"/>
      <c r="S530" s="768"/>
      <c r="T530" s="768"/>
      <c r="U530" s="781"/>
      <c r="V530" s="781"/>
      <c r="W530" s="781"/>
      <c r="X530" s="781"/>
      <c r="Y530" s="781"/>
      <c r="Z530" s="781"/>
      <c r="AA530" s="781"/>
      <c r="AB530" s="781"/>
      <c r="AC530" s="740"/>
      <c r="AD530" s="740"/>
      <c r="AE530" s="764"/>
      <c r="AF530" s="764"/>
      <c r="AG530" s="741"/>
      <c r="AH530" s="739"/>
      <c r="AI530" s="742"/>
      <c r="AJ530" s="742"/>
      <c r="AK530" s="742"/>
      <c r="AL530" s="742"/>
      <c r="AM530" s="742"/>
      <c r="AN530" s="742"/>
      <c r="AO530" s="763"/>
      <c r="AP530" s="742"/>
      <c r="AQ530" s="763"/>
      <c r="AR530" s="763"/>
      <c r="AS530" s="742"/>
      <c r="AT530" s="742"/>
      <c r="AU530" s="742"/>
      <c r="AV530" s="742"/>
      <c r="AW530" s="742"/>
    </row>
    <row r="531" spans="2:49" s="98" customFormat="1">
      <c r="B531" s="488"/>
      <c r="C531" s="738"/>
      <c r="D531" s="809"/>
      <c r="E531" s="781"/>
      <c r="F531" s="781"/>
      <c r="G531" s="781"/>
      <c r="H531" s="782"/>
      <c r="I531" s="781"/>
      <c r="J531" s="782"/>
      <c r="K531" s="781"/>
      <c r="L531" s="781"/>
      <c r="M531" s="782"/>
      <c r="N531" s="781"/>
      <c r="O531" s="782"/>
      <c r="P531" s="781"/>
      <c r="Q531" s="781"/>
      <c r="R531" s="781"/>
      <c r="S531" s="768"/>
      <c r="T531" s="768"/>
      <c r="U531" s="781"/>
      <c r="V531" s="781"/>
      <c r="W531" s="781"/>
      <c r="X531" s="781"/>
      <c r="Y531" s="781"/>
      <c r="Z531" s="781"/>
      <c r="AA531" s="781"/>
      <c r="AB531" s="781"/>
      <c r="AC531" s="740"/>
      <c r="AD531" s="740"/>
      <c r="AE531" s="764"/>
      <c r="AF531" s="764"/>
      <c r="AG531" s="741"/>
      <c r="AH531" s="739"/>
      <c r="AI531" s="742"/>
      <c r="AJ531" s="742"/>
      <c r="AK531" s="742"/>
      <c r="AL531" s="742"/>
      <c r="AM531" s="742"/>
      <c r="AN531" s="742"/>
      <c r="AO531" s="763"/>
      <c r="AP531" s="742"/>
      <c r="AQ531" s="763"/>
      <c r="AR531" s="763"/>
      <c r="AS531" s="742"/>
      <c r="AT531" s="742"/>
      <c r="AU531" s="742"/>
      <c r="AV531" s="742"/>
      <c r="AW531" s="742"/>
    </row>
    <row r="532" spans="2:49" s="98" customFormat="1">
      <c r="B532" s="488"/>
      <c r="C532" s="738"/>
      <c r="D532" s="809"/>
      <c r="E532" s="781"/>
      <c r="F532" s="781"/>
      <c r="G532" s="781"/>
      <c r="H532" s="782"/>
      <c r="I532" s="781"/>
      <c r="J532" s="782"/>
      <c r="K532" s="781"/>
      <c r="L532" s="781"/>
      <c r="M532" s="782"/>
      <c r="N532" s="781"/>
      <c r="O532" s="782"/>
      <c r="P532" s="781"/>
      <c r="Q532" s="781"/>
      <c r="R532" s="781"/>
      <c r="S532" s="768"/>
      <c r="T532" s="768"/>
      <c r="U532" s="781"/>
      <c r="V532" s="781"/>
      <c r="W532" s="781"/>
      <c r="X532" s="781"/>
      <c r="Y532" s="781"/>
      <c r="Z532" s="781"/>
      <c r="AA532" s="781"/>
      <c r="AB532" s="781"/>
      <c r="AC532" s="740"/>
      <c r="AD532" s="740"/>
      <c r="AE532" s="764"/>
      <c r="AF532" s="764"/>
      <c r="AG532" s="741"/>
      <c r="AH532" s="739"/>
      <c r="AI532" s="742"/>
      <c r="AJ532" s="742"/>
      <c r="AK532" s="742"/>
      <c r="AL532" s="742"/>
      <c r="AM532" s="742"/>
      <c r="AN532" s="742"/>
      <c r="AO532" s="763"/>
      <c r="AP532" s="742"/>
      <c r="AQ532" s="763"/>
      <c r="AR532" s="763"/>
      <c r="AS532" s="742"/>
      <c r="AT532" s="742"/>
      <c r="AU532" s="742"/>
      <c r="AV532" s="742"/>
      <c r="AW532" s="742"/>
    </row>
    <row r="533" spans="2:49" s="98" customFormat="1">
      <c r="B533" s="488"/>
      <c r="C533" s="738"/>
      <c r="D533" s="809"/>
      <c r="E533" s="781"/>
      <c r="F533" s="781"/>
      <c r="G533" s="781"/>
      <c r="H533" s="782"/>
      <c r="I533" s="781"/>
      <c r="J533" s="782"/>
      <c r="K533" s="781"/>
      <c r="L533" s="781"/>
      <c r="M533" s="782"/>
      <c r="N533" s="781"/>
      <c r="O533" s="782"/>
      <c r="P533" s="781"/>
      <c r="Q533" s="781"/>
      <c r="R533" s="781"/>
      <c r="S533" s="768"/>
      <c r="T533" s="768"/>
      <c r="U533" s="781"/>
      <c r="V533" s="781"/>
      <c r="W533" s="781"/>
      <c r="X533" s="781"/>
      <c r="Y533" s="781"/>
      <c r="Z533" s="781"/>
      <c r="AA533" s="781"/>
      <c r="AB533" s="781"/>
      <c r="AC533" s="740"/>
      <c r="AD533" s="740"/>
      <c r="AE533" s="764"/>
      <c r="AF533" s="764"/>
      <c r="AG533" s="741"/>
      <c r="AH533" s="739"/>
      <c r="AI533" s="742"/>
      <c r="AJ533" s="742"/>
      <c r="AK533" s="742"/>
      <c r="AL533" s="742"/>
      <c r="AM533" s="742"/>
      <c r="AN533" s="742"/>
      <c r="AO533" s="763"/>
      <c r="AP533" s="742"/>
      <c r="AQ533" s="763"/>
      <c r="AR533" s="763"/>
      <c r="AS533" s="742"/>
      <c r="AT533" s="742"/>
      <c r="AU533" s="742"/>
      <c r="AV533" s="742"/>
      <c r="AW533" s="742"/>
    </row>
    <row r="534" spans="2:49" s="98" customFormat="1">
      <c r="B534" s="488"/>
      <c r="C534" s="738"/>
      <c r="D534" s="809"/>
      <c r="E534" s="781"/>
      <c r="F534" s="781"/>
      <c r="G534" s="781"/>
      <c r="H534" s="782"/>
      <c r="I534" s="781"/>
      <c r="J534" s="782"/>
      <c r="K534" s="781"/>
      <c r="L534" s="781"/>
      <c r="M534" s="782"/>
      <c r="N534" s="781"/>
      <c r="O534" s="782"/>
      <c r="P534" s="781"/>
      <c r="Q534" s="781"/>
      <c r="R534" s="781"/>
      <c r="S534" s="768"/>
      <c r="T534" s="768"/>
      <c r="U534" s="781"/>
      <c r="V534" s="781"/>
      <c r="W534" s="781"/>
      <c r="X534" s="781"/>
      <c r="Y534" s="781"/>
      <c r="Z534" s="781"/>
      <c r="AA534" s="781"/>
      <c r="AB534" s="781"/>
      <c r="AC534" s="740"/>
      <c r="AD534" s="740"/>
      <c r="AE534" s="764"/>
      <c r="AF534" s="764"/>
      <c r="AG534" s="741"/>
      <c r="AH534" s="739"/>
      <c r="AI534" s="742"/>
      <c r="AJ534" s="742"/>
      <c r="AK534" s="742"/>
      <c r="AL534" s="742"/>
      <c r="AM534" s="742"/>
      <c r="AN534" s="742"/>
      <c r="AO534" s="763"/>
      <c r="AP534" s="742"/>
      <c r="AQ534" s="763"/>
      <c r="AR534" s="763"/>
      <c r="AS534" s="742"/>
      <c r="AT534" s="742"/>
      <c r="AU534" s="742"/>
      <c r="AV534" s="742"/>
      <c r="AW534" s="742"/>
    </row>
    <row r="535" spans="2:49" s="98" customFormat="1">
      <c r="B535" s="488"/>
      <c r="C535" s="738"/>
      <c r="D535" s="809"/>
      <c r="E535" s="781"/>
      <c r="F535" s="781"/>
      <c r="G535" s="781"/>
      <c r="H535" s="782"/>
      <c r="I535" s="781"/>
      <c r="J535" s="782"/>
      <c r="K535" s="781"/>
      <c r="L535" s="781"/>
      <c r="M535" s="782"/>
      <c r="N535" s="781"/>
      <c r="O535" s="782"/>
      <c r="P535" s="781"/>
      <c r="Q535" s="781"/>
      <c r="R535" s="781"/>
      <c r="S535" s="768"/>
      <c r="T535" s="768"/>
      <c r="U535" s="781"/>
      <c r="V535" s="781"/>
      <c r="W535" s="781"/>
      <c r="X535" s="781"/>
      <c r="Y535" s="781"/>
      <c r="Z535" s="781"/>
      <c r="AA535" s="781"/>
      <c r="AB535" s="781"/>
      <c r="AC535" s="740"/>
      <c r="AD535" s="740"/>
      <c r="AE535" s="764"/>
      <c r="AF535" s="764"/>
      <c r="AG535" s="741"/>
      <c r="AH535" s="739"/>
      <c r="AI535" s="742"/>
      <c r="AJ535" s="742"/>
      <c r="AK535" s="742"/>
      <c r="AL535" s="742"/>
      <c r="AM535" s="742"/>
      <c r="AN535" s="742"/>
      <c r="AO535" s="763"/>
      <c r="AP535" s="742"/>
      <c r="AQ535" s="763"/>
      <c r="AR535" s="763"/>
      <c r="AS535" s="742"/>
      <c r="AT535" s="742"/>
      <c r="AU535" s="742"/>
      <c r="AV535" s="742"/>
      <c r="AW535" s="742"/>
    </row>
    <row r="536" spans="2:49" s="98" customFormat="1">
      <c r="B536" s="488"/>
      <c r="C536" s="738"/>
      <c r="D536" s="809"/>
      <c r="E536" s="781"/>
      <c r="F536" s="781"/>
      <c r="G536" s="781"/>
      <c r="H536" s="782"/>
      <c r="I536" s="781"/>
      <c r="J536" s="782"/>
      <c r="K536" s="781"/>
      <c r="L536" s="781"/>
      <c r="M536" s="782"/>
      <c r="N536" s="781"/>
      <c r="O536" s="782"/>
      <c r="P536" s="781"/>
      <c r="Q536" s="781"/>
      <c r="R536" s="781"/>
      <c r="S536" s="768"/>
      <c r="T536" s="768"/>
      <c r="U536" s="781"/>
      <c r="V536" s="781"/>
      <c r="W536" s="781"/>
      <c r="X536" s="781"/>
      <c r="Y536" s="781"/>
      <c r="Z536" s="781"/>
      <c r="AA536" s="781"/>
      <c r="AB536" s="781"/>
      <c r="AC536" s="740"/>
      <c r="AD536" s="740"/>
      <c r="AE536" s="764"/>
      <c r="AF536" s="764"/>
      <c r="AG536" s="741"/>
      <c r="AH536" s="739"/>
      <c r="AI536" s="742"/>
      <c r="AJ536" s="742"/>
      <c r="AK536" s="742"/>
      <c r="AL536" s="742"/>
      <c r="AM536" s="742"/>
      <c r="AN536" s="742"/>
      <c r="AO536" s="763"/>
      <c r="AP536" s="742"/>
      <c r="AQ536" s="763"/>
      <c r="AR536" s="763"/>
      <c r="AS536" s="742"/>
      <c r="AT536" s="742"/>
      <c r="AU536" s="742"/>
      <c r="AV536" s="742"/>
      <c r="AW536" s="742"/>
    </row>
    <row r="537" spans="2:49" s="98" customFormat="1">
      <c r="B537" s="488"/>
      <c r="C537" s="738"/>
      <c r="D537" s="809"/>
      <c r="E537" s="781"/>
      <c r="F537" s="781"/>
      <c r="G537" s="781"/>
      <c r="H537" s="782"/>
      <c r="I537" s="781"/>
      <c r="J537" s="782"/>
      <c r="K537" s="781"/>
      <c r="L537" s="781"/>
      <c r="M537" s="782"/>
      <c r="N537" s="781"/>
      <c r="O537" s="782"/>
      <c r="P537" s="781"/>
      <c r="Q537" s="781"/>
      <c r="R537" s="781"/>
      <c r="S537" s="768"/>
      <c r="T537" s="768"/>
      <c r="U537" s="781"/>
      <c r="V537" s="781"/>
      <c r="W537" s="781"/>
      <c r="X537" s="781"/>
      <c r="Y537" s="781"/>
      <c r="Z537" s="781"/>
      <c r="AA537" s="781"/>
      <c r="AB537" s="781"/>
      <c r="AC537" s="740"/>
      <c r="AD537" s="740"/>
      <c r="AE537" s="764"/>
      <c r="AF537" s="764"/>
      <c r="AG537" s="741"/>
      <c r="AH537" s="739"/>
      <c r="AI537" s="742"/>
      <c r="AJ537" s="742"/>
      <c r="AK537" s="742"/>
      <c r="AL537" s="742"/>
      <c r="AM537" s="742"/>
      <c r="AN537" s="742"/>
      <c r="AO537" s="763"/>
      <c r="AP537" s="742"/>
      <c r="AQ537" s="763"/>
      <c r="AR537" s="763"/>
      <c r="AS537" s="742"/>
      <c r="AT537" s="742"/>
      <c r="AU537" s="742"/>
      <c r="AV537" s="742"/>
      <c r="AW537" s="742"/>
    </row>
    <row r="538" spans="2:49" s="98" customFormat="1">
      <c r="B538" s="488"/>
      <c r="C538" s="738"/>
      <c r="D538" s="809"/>
      <c r="E538" s="781"/>
      <c r="F538" s="781"/>
      <c r="G538" s="781"/>
      <c r="H538" s="782"/>
      <c r="I538" s="781"/>
      <c r="J538" s="782"/>
      <c r="K538" s="781"/>
      <c r="L538" s="781"/>
      <c r="M538" s="782"/>
      <c r="N538" s="781"/>
      <c r="O538" s="782"/>
      <c r="P538" s="781"/>
      <c r="Q538" s="781"/>
      <c r="R538" s="781"/>
      <c r="S538" s="768"/>
      <c r="T538" s="768"/>
      <c r="U538" s="781"/>
      <c r="V538" s="781"/>
      <c r="W538" s="781"/>
      <c r="X538" s="781"/>
      <c r="Y538" s="781"/>
      <c r="Z538" s="781"/>
      <c r="AA538" s="781"/>
      <c r="AB538" s="781"/>
      <c r="AC538" s="740"/>
      <c r="AD538" s="740"/>
      <c r="AE538" s="764"/>
      <c r="AF538" s="764"/>
      <c r="AG538" s="741"/>
      <c r="AH538" s="739"/>
      <c r="AI538" s="742"/>
      <c r="AJ538" s="742"/>
      <c r="AK538" s="742"/>
      <c r="AL538" s="742"/>
      <c r="AM538" s="742"/>
      <c r="AN538" s="742"/>
      <c r="AO538" s="763"/>
      <c r="AP538" s="742"/>
      <c r="AQ538" s="763"/>
      <c r="AR538" s="763"/>
      <c r="AS538" s="742"/>
      <c r="AT538" s="742"/>
      <c r="AU538" s="742"/>
      <c r="AV538" s="742"/>
      <c r="AW538" s="742"/>
    </row>
    <row r="539" spans="2:49" s="98" customFormat="1">
      <c r="B539" s="488"/>
      <c r="C539" s="738"/>
      <c r="D539" s="809"/>
      <c r="E539" s="781"/>
      <c r="F539" s="781"/>
      <c r="G539" s="781"/>
      <c r="H539" s="782"/>
      <c r="I539" s="781"/>
      <c r="J539" s="782"/>
      <c r="K539" s="781"/>
      <c r="L539" s="781"/>
      <c r="M539" s="782"/>
      <c r="N539" s="781"/>
      <c r="O539" s="782"/>
      <c r="P539" s="781"/>
      <c r="Q539" s="781"/>
      <c r="R539" s="781"/>
      <c r="S539" s="768"/>
      <c r="T539" s="768"/>
      <c r="U539" s="781"/>
      <c r="V539" s="781"/>
      <c r="W539" s="781"/>
      <c r="X539" s="781"/>
      <c r="Y539" s="781"/>
      <c r="Z539" s="781"/>
      <c r="AA539" s="781"/>
      <c r="AB539" s="781"/>
      <c r="AC539" s="740"/>
      <c r="AD539" s="740"/>
      <c r="AE539" s="764"/>
      <c r="AF539" s="764"/>
      <c r="AG539" s="741"/>
      <c r="AH539" s="739"/>
      <c r="AI539" s="742"/>
      <c r="AJ539" s="742"/>
      <c r="AK539" s="742"/>
      <c r="AL539" s="742"/>
      <c r="AM539" s="742"/>
      <c r="AN539" s="742"/>
      <c r="AO539" s="763"/>
      <c r="AP539" s="742"/>
      <c r="AQ539" s="763"/>
      <c r="AR539" s="763"/>
      <c r="AS539" s="742"/>
      <c r="AT539" s="742"/>
      <c r="AU539" s="742"/>
      <c r="AV539" s="742"/>
      <c r="AW539" s="742"/>
    </row>
    <row r="540" spans="2:49" s="98" customFormat="1">
      <c r="B540" s="488"/>
      <c r="C540" s="738"/>
      <c r="D540" s="809"/>
      <c r="E540" s="781"/>
      <c r="F540" s="781"/>
      <c r="G540" s="781"/>
      <c r="H540" s="782"/>
      <c r="I540" s="781"/>
      <c r="J540" s="782"/>
      <c r="K540" s="781"/>
      <c r="L540" s="781"/>
      <c r="M540" s="782"/>
      <c r="N540" s="781"/>
      <c r="O540" s="782"/>
      <c r="P540" s="781"/>
      <c r="Q540" s="781"/>
      <c r="R540" s="781"/>
      <c r="S540" s="768"/>
      <c r="T540" s="768"/>
      <c r="U540" s="781"/>
      <c r="V540" s="781"/>
      <c r="W540" s="781"/>
      <c r="X540" s="781"/>
      <c r="Y540" s="781"/>
      <c r="Z540" s="781"/>
      <c r="AA540" s="781"/>
      <c r="AB540" s="781"/>
      <c r="AC540" s="740"/>
      <c r="AD540" s="740"/>
      <c r="AE540" s="764"/>
      <c r="AF540" s="764"/>
      <c r="AG540" s="741"/>
      <c r="AH540" s="739"/>
      <c r="AI540" s="742"/>
      <c r="AJ540" s="742"/>
      <c r="AK540" s="742"/>
      <c r="AL540" s="742"/>
      <c r="AM540" s="742"/>
      <c r="AN540" s="742"/>
      <c r="AO540" s="763"/>
      <c r="AP540" s="742"/>
      <c r="AQ540" s="763"/>
      <c r="AR540" s="763"/>
      <c r="AS540" s="742"/>
      <c r="AT540" s="742"/>
      <c r="AU540" s="742"/>
      <c r="AV540" s="742"/>
      <c r="AW540" s="742"/>
    </row>
    <row r="541" spans="2:49" s="98" customFormat="1">
      <c r="B541" s="488"/>
      <c r="C541" s="738"/>
      <c r="D541" s="809"/>
      <c r="E541" s="781"/>
      <c r="F541" s="781"/>
      <c r="G541" s="781"/>
      <c r="H541" s="782"/>
      <c r="I541" s="781"/>
      <c r="J541" s="782"/>
      <c r="K541" s="781"/>
      <c r="L541" s="781"/>
      <c r="M541" s="782"/>
      <c r="N541" s="781"/>
      <c r="O541" s="782"/>
      <c r="P541" s="781"/>
      <c r="Q541" s="781"/>
      <c r="R541" s="781"/>
      <c r="S541" s="768"/>
      <c r="T541" s="768"/>
      <c r="U541" s="781"/>
      <c r="V541" s="781"/>
      <c r="W541" s="781"/>
      <c r="X541" s="781"/>
      <c r="Y541" s="781"/>
      <c r="Z541" s="781"/>
      <c r="AA541" s="781"/>
      <c r="AB541" s="781"/>
      <c r="AC541" s="740"/>
      <c r="AD541" s="740"/>
      <c r="AE541" s="764"/>
      <c r="AF541" s="764"/>
      <c r="AG541" s="741"/>
      <c r="AH541" s="739"/>
      <c r="AI541" s="742"/>
      <c r="AJ541" s="742"/>
      <c r="AK541" s="742"/>
      <c r="AL541" s="742"/>
      <c r="AM541" s="742"/>
      <c r="AN541" s="742"/>
      <c r="AO541" s="763"/>
      <c r="AP541" s="742"/>
      <c r="AQ541" s="763"/>
      <c r="AR541" s="763"/>
      <c r="AS541" s="742"/>
      <c r="AT541" s="742"/>
      <c r="AU541" s="742"/>
      <c r="AV541" s="742"/>
      <c r="AW541" s="742"/>
    </row>
    <row r="542" spans="2:49" s="98" customFormat="1">
      <c r="B542" s="488"/>
      <c r="C542" s="738"/>
      <c r="D542" s="809"/>
      <c r="E542" s="781"/>
      <c r="F542" s="781"/>
      <c r="G542" s="781"/>
      <c r="H542" s="782"/>
      <c r="I542" s="781"/>
      <c r="J542" s="782"/>
      <c r="K542" s="781"/>
      <c r="L542" s="781"/>
      <c r="M542" s="782"/>
      <c r="N542" s="781"/>
      <c r="O542" s="782"/>
      <c r="P542" s="781"/>
      <c r="Q542" s="781"/>
      <c r="R542" s="781"/>
      <c r="S542" s="768"/>
      <c r="T542" s="768"/>
      <c r="U542" s="781"/>
      <c r="V542" s="781"/>
      <c r="W542" s="781"/>
      <c r="X542" s="781"/>
      <c r="Y542" s="781"/>
      <c r="Z542" s="781"/>
      <c r="AA542" s="781"/>
      <c r="AB542" s="781"/>
      <c r="AC542" s="740"/>
      <c r="AD542" s="740"/>
      <c r="AE542" s="764"/>
      <c r="AF542" s="764"/>
      <c r="AG542" s="741"/>
      <c r="AH542" s="739"/>
      <c r="AI542" s="742"/>
      <c r="AJ542" s="742"/>
      <c r="AK542" s="742"/>
      <c r="AL542" s="742"/>
      <c r="AM542" s="742"/>
      <c r="AN542" s="742"/>
      <c r="AO542" s="763"/>
      <c r="AP542" s="742"/>
      <c r="AQ542" s="763"/>
      <c r="AR542" s="763"/>
      <c r="AS542" s="742"/>
      <c r="AT542" s="742"/>
      <c r="AU542" s="742"/>
      <c r="AV542" s="742"/>
      <c r="AW542" s="742"/>
    </row>
    <row r="543" spans="2:49" s="98" customFormat="1">
      <c r="B543" s="488"/>
      <c r="C543" s="738"/>
      <c r="D543" s="809"/>
      <c r="E543" s="781"/>
      <c r="F543" s="781"/>
      <c r="G543" s="781"/>
      <c r="H543" s="782"/>
      <c r="I543" s="781"/>
      <c r="J543" s="782"/>
      <c r="K543" s="781"/>
      <c r="L543" s="781"/>
      <c r="M543" s="782"/>
      <c r="N543" s="781"/>
      <c r="O543" s="782"/>
      <c r="P543" s="781"/>
      <c r="Q543" s="781"/>
      <c r="R543" s="781"/>
      <c r="S543" s="768"/>
      <c r="T543" s="768"/>
      <c r="U543" s="781"/>
      <c r="V543" s="781"/>
      <c r="W543" s="781"/>
      <c r="X543" s="781"/>
      <c r="Y543" s="781"/>
      <c r="Z543" s="781"/>
      <c r="AA543" s="781"/>
      <c r="AB543" s="781"/>
      <c r="AC543" s="740"/>
      <c r="AD543" s="740"/>
      <c r="AE543" s="764"/>
      <c r="AF543" s="764"/>
      <c r="AG543" s="741"/>
      <c r="AH543" s="739"/>
      <c r="AI543" s="742"/>
      <c r="AJ543" s="742"/>
      <c r="AK543" s="742"/>
      <c r="AL543" s="742"/>
      <c r="AM543" s="742"/>
      <c r="AN543" s="742"/>
      <c r="AO543" s="763"/>
      <c r="AP543" s="742"/>
      <c r="AQ543" s="763"/>
      <c r="AR543" s="763"/>
      <c r="AS543" s="742"/>
      <c r="AT543" s="742"/>
      <c r="AU543" s="742"/>
      <c r="AV543" s="742"/>
      <c r="AW543" s="742"/>
    </row>
    <row r="544" spans="2:49" s="98" customFormat="1">
      <c r="B544" s="488"/>
      <c r="C544" s="738"/>
      <c r="D544" s="809"/>
      <c r="E544" s="781"/>
      <c r="F544" s="781"/>
      <c r="G544" s="781"/>
      <c r="H544" s="782"/>
      <c r="I544" s="781"/>
      <c r="J544" s="782"/>
      <c r="K544" s="781"/>
      <c r="L544" s="781"/>
      <c r="M544" s="782"/>
      <c r="N544" s="781"/>
      <c r="O544" s="782"/>
      <c r="P544" s="781"/>
      <c r="Q544" s="781"/>
      <c r="R544" s="781"/>
      <c r="S544" s="768"/>
      <c r="T544" s="768"/>
      <c r="U544" s="781"/>
      <c r="V544" s="781"/>
      <c r="W544" s="781"/>
      <c r="X544" s="781"/>
      <c r="Y544" s="781"/>
      <c r="Z544" s="781"/>
      <c r="AA544" s="781"/>
      <c r="AB544" s="781"/>
      <c r="AC544" s="740"/>
      <c r="AD544" s="740"/>
      <c r="AE544" s="764"/>
      <c r="AF544" s="764"/>
      <c r="AG544" s="741"/>
      <c r="AH544" s="739"/>
      <c r="AI544" s="742"/>
      <c r="AJ544" s="742"/>
      <c r="AK544" s="742"/>
      <c r="AL544" s="742"/>
      <c r="AM544" s="742"/>
      <c r="AN544" s="742"/>
      <c r="AO544" s="763"/>
      <c r="AP544" s="742"/>
      <c r="AQ544" s="763"/>
      <c r="AR544" s="763"/>
      <c r="AS544" s="742"/>
      <c r="AT544" s="742"/>
      <c r="AU544" s="742"/>
      <c r="AV544" s="742"/>
      <c r="AW544" s="742"/>
    </row>
    <row r="545" spans="2:49" s="98" customFormat="1">
      <c r="B545" s="488"/>
      <c r="C545" s="738"/>
      <c r="D545" s="809"/>
      <c r="E545" s="781"/>
      <c r="F545" s="781"/>
      <c r="G545" s="781"/>
      <c r="H545" s="782"/>
      <c r="I545" s="781"/>
      <c r="J545" s="782"/>
      <c r="K545" s="781"/>
      <c r="L545" s="781"/>
      <c r="M545" s="782"/>
      <c r="N545" s="781"/>
      <c r="O545" s="782"/>
      <c r="P545" s="781"/>
      <c r="Q545" s="781"/>
      <c r="R545" s="781"/>
      <c r="S545" s="768"/>
      <c r="T545" s="768"/>
      <c r="U545" s="781"/>
      <c r="V545" s="781"/>
      <c r="W545" s="781"/>
      <c r="X545" s="781"/>
      <c r="Y545" s="781"/>
      <c r="Z545" s="781"/>
      <c r="AA545" s="781"/>
      <c r="AB545" s="781"/>
      <c r="AC545" s="740"/>
      <c r="AD545" s="740"/>
      <c r="AE545" s="764"/>
      <c r="AF545" s="764"/>
      <c r="AG545" s="741"/>
      <c r="AH545" s="739"/>
      <c r="AI545" s="742"/>
      <c r="AJ545" s="742"/>
      <c r="AK545" s="742"/>
      <c r="AL545" s="742"/>
      <c r="AM545" s="742"/>
      <c r="AN545" s="742"/>
      <c r="AO545" s="763"/>
      <c r="AP545" s="742"/>
      <c r="AQ545" s="763"/>
      <c r="AR545" s="763"/>
      <c r="AS545" s="742"/>
      <c r="AT545" s="742"/>
      <c r="AU545" s="742"/>
      <c r="AV545" s="742"/>
      <c r="AW545" s="742"/>
    </row>
    <row r="546" spans="2:49" s="98" customFormat="1">
      <c r="B546" s="488"/>
      <c r="C546" s="738"/>
      <c r="D546" s="809"/>
      <c r="E546" s="781"/>
      <c r="F546" s="781"/>
      <c r="G546" s="781"/>
      <c r="H546" s="782"/>
      <c r="I546" s="781"/>
      <c r="J546" s="782"/>
      <c r="K546" s="781"/>
      <c r="L546" s="781"/>
      <c r="M546" s="782"/>
      <c r="N546" s="781"/>
      <c r="O546" s="782"/>
      <c r="P546" s="781"/>
      <c r="Q546" s="781"/>
      <c r="R546" s="781"/>
      <c r="S546" s="768"/>
      <c r="T546" s="768"/>
      <c r="U546" s="781"/>
      <c r="V546" s="781"/>
      <c r="W546" s="781"/>
      <c r="X546" s="781"/>
      <c r="Y546" s="781"/>
      <c r="Z546" s="781"/>
      <c r="AA546" s="781"/>
      <c r="AB546" s="781"/>
      <c r="AC546" s="740"/>
      <c r="AD546" s="740"/>
      <c r="AE546" s="764"/>
      <c r="AF546" s="764"/>
      <c r="AG546" s="741"/>
      <c r="AH546" s="739"/>
      <c r="AI546" s="742"/>
      <c r="AJ546" s="742"/>
      <c r="AK546" s="742"/>
      <c r="AL546" s="742"/>
      <c r="AM546" s="742"/>
      <c r="AN546" s="742"/>
      <c r="AO546" s="763"/>
      <c r="AP546" s="742"/>
      <c r="AQ546" s="763"/>
      <c r="AR546" s="763"/>
      <c r="AS546" s="742"/>
      <c r="AT546" s="742"/>
      <c r="AU546" s="742"/>
      <c r="AV546" s="742"/>
      <c r="AW546" s="742"/>
    </row>
    <row r="547" spans="2:49" s="98" customFormat="1">
      <c r="B547" s="488"/>
      <c r="C547" s="738"/>
      <c r="D547" s="809"/>
      <c r="E547" s="781"/>
      <c r="F547" s="781"/>
      <c r="G547" s="781"/>
      <c r="H547" s="782"/>
      <c r="I547" s="781"/>
      <c r="J547" s="782"/>
      <c r="K547" s="781"/>
      <c r="L547" s="781"/>
      <c r="M547" s="782"/>
      <c r="N547" s="781"/>
      <c r="O547" s="782"/>
      <c r="P547" s="781"/>
      <c r="Q547" s="781"/>
      <c r="R547" s="781"/>
      <c r="S547" s="768"/>
      <c r="T547" s="768"/>
      <c r="U547" s="781"/>
      <c r="V547" s="781"/>
      <c r="W547" s="781"/>
      <c r="X547" s="781"/>
      <c r="Y547" s="781"/>
      <c r="Z547" s="781"/>
      <c r="AA547" s="781"/>
      <c r="AB547" s="781"/>
      <c r="AC547" s="740"/>
      <c r="AD547" s="740"/>
      <c r="AE547" s="764"/>
      <c r="AF547" s="764"/>
      <c r="AG547" s="741"/>
      <c r="AH547" s="739"/>
      <c r="AI547" s="742"/>
      <c r="AJ547" s="742"/>
      <c r="AK547" s="742"/>
      <c r="AL547" s="742"/>
      <c r="AM547" s="742"/>
      <c r="AN547" s="742"/>
      <c r="AO547" s="763"/>
      <c r="AP547" s="742"/>
      <c r="AQ547" s="763"/>
      <c r="AR547" s="763"/>
      <c r="AS547" s="742"/>
      <c r="AT547" s="742"/>
      <c r="AU547" s="742"/>
      <c r="AV547" s="742"/>
      <c r="AW547" s="742"/>
    </row>
    <row r="548" spans="2:49" s="98" customFormat="1">
      <c r="B548" s="488"/>
      <c r="C548" s="738"/>
      <c r="D548" s="809"/>
      <c r="E548" s="781"/>
      <c r="F548" s="781"/>
      <c r="G548" s="781"/>
      <c r="H548" s="782"/>
      <c r="I548" s="781"/>
      <c r="J548" s="782"/>
      <c r="K548" s="781"/>
      <c r="L548" s="781"/>
      <c r="M548" s="782"/>
      <c r="N548" s="781"/>
      <c r="O548" s="782"/>
      <c r="P548" s="781"/>
      <c r="Q548" s="781"/>
      <c r="R548" s="781"/>
      <c r="S548" s="768"/>
      <c r="T548" s="768"/>
      <c r="U548" s="781"/>
      <c r="V548" s="781"/>
      <c r="W548" s="781"/>
      <c r="X548" s="781"/>
      <c r="Y548" s="781"/>
      <c r="Z548" s="781"/>
      <c r="AA548" s="781"/>
      <c r="AB548" s="781"/>
      <c r="AC548" s="740"/>
      <c r="AD548" s="740"/>
      <c r="AE548" s="764"/>
      <c r="AF548" s="764"/>
      <c r="AG548" s="741"/>
      <c r="AH548" s="739"/>
      <c r="AI548" s="742"/>
      <c r="AJ548" s="742"/>
      <c r="AK548" s="742"/>
      <c r="AL548" s="742"/>
      <c r="AM548" s="742"/>
      <c r="AN548" s="742"/>
      <c r="AO548" s="763"/>
      <c r="AP548" s="742"/>
      <c r="AQ548" s="763"/>
      <c r="AR548" s="763"/>
      <c r="AS548" s="742"/>
      <c r="AT548" s="742"/>
      <c r="AU548" s="742"/>
      <c r="AV548" s="742"/>
      <c r="AW548" s="742"/>
    </row>
    <row r="549" spans="2:49" s="98" customFormat="1">
      <c r="B549" s="488"/>
      <c r="C549" s="738"/>
      <c r="D549" s="809"/>
      <c r="E549" s="781"/>
      <c r="F549" s="781"/>
      <c r="G549" s="781"/>
      <c r="H549" s="782"/>
      <c r="I549" s="781"/>
      <c r="J549" s="782"/>
      <c r="K549" s="781"/>
      <c r="L549" s="781"/>
      <c r="M549" s="782"/>
      <c r="N549" s="781"/>
      <c r="O549" s="782"/>
      <c r="P549" s="781"/>
      <c r="Q549" s="781"/>
      <c r="R549" s="781"/>
      <c r="S549" s="768"/>
      <c r="T549" s="768"/>
      <c r="U549" s="781"/>
      <c r="V549" s="781"/>
      <c r="W549" s="781"/>
      <c r="X549" s="781"/>
      <c r="Y549" s="781"/>
      <c r="Z549" s="781"/>
      <c r="AA549" s="781"/>
      <c r="AB549" s="781"/>
      <c r="AC549" s="740"/>
      <c r="AD549" s="740"/>
      <c r="AE549" s="764"/>
      <c r="AF549" s="764"/>
      <c r="AG549" s="741"/>
      <c r="AH549" s="739"/>
      <c r="AI549" s="742"/>
      <c r="AJ549" s="742"/>
      <c r="AK549" s="742"/>
      <c r="AL549" s="742"/>
      <c r="AM549" s="742"/>
      <c r="AN549" s="742"/>
      <c r="AO549" s="763"/>
      <c r="AP549" s="742"/>
      <c r="AQ549" s="763"/>
      <c r="AR549" s="763"/>
      <c r="AS549" s="742"/>
      <c r="AT549" s="742"/>
      <c r="AU549" s="742"/>
      <c r="AV549" s="742"/>
      <c r="AW549" s="742"/>
    </row>
    <row r="550" spans="2:49" s="98" customFormat="1">
      <c r="B550" s="488"/>
      <c r="C550" s="738"/>
      <c r="D550" s="809"/>
      <c r="E550" s="781"/>
      <c r="F550" s="781"/>
      <c r="G550" s="781"/>
      <c r="H550" s="782"/>
      <c r="I550" s="781"/>
      <c r="J550" s="782"/>
      <c r="K550" s="781"/>
      <c r="L550" s="781"/>
      <c r="M550" s="782"/>
      <c r="N550" s="781"/>
      <c r="O550" s="782"/>
      <c r="P550" s="781"/>
      <c r="Q550" s="781"/>
      <c r="R550" s="781"/>
      <c r="S550" s="768"/>
      <c r="T550" s="768"/>
      <c r="U550" s="781"/>
      <c r="V550" s="781"/>
      <c r="W550" s="781"/>
      <c r="X550" s="781"/>
      <c r="Y550" s="781"/>
      <c r="Z550" s="781"/>
      <c r="AA550" s="781"/>
      <c r="AB550" s="781"/>
      <c r="AC550" s="740"/>
      <c r="AD550" s="740"/>
      <c r="AE550" s="764"/>
      <c r="AF550" s="764"/>
      <c r="AG550" s="741"/>
      <c r="AH550" s="739"/>
      <c r="AI550" s="742"/>
      <c r="AJ550" s="742"/>
      <c r="AK550" s="742"/>
      <c r="AL550" s="742"/>
      <c r="AM550" s="742"/>
      <c r="AN550" s="742"/>
      <c r="AO550" s="763"/>
      <c r="AP550" s="742"/>
      <c r="AQ550" s="763"/>
      <c r="AR550" s="763"/>
      <c r="AS550" s="742"/>
      <c r="AT550" s="742"/>
      <c r="AU550" s="742"/>
      <c r="AV550" s="742"/>
      <c r="AW550" s="742"/>
    </row>
    <row r="551" spans="2:49" s="98" customFormat="1">
      <c r="B551" s="488"/>
      <c r="C551" s="738"/>
      <c r="D551" s="809"/>
      <c r="E551" s="781"/>
      <c r="F551" s="781"/>
      <c r="G551" s="781"/>
      <c r="H551" s="782"/>
      <c r="I551" s="781"/>
      <c r="J551" s="782"/>
      <c r="K551" s="781"/>
      <c r="L551" s="781"/>
      <c r="M551" s="782"/>
      <c r="N551" s="781"/>
      <c r="O551" s="782"/>
      <c r="P551" s="781"/>
      <c r="Q551" s="781"/>
      <c r="R551" s="781"/>
      <c r="S551" s="768"/>
      <c r="T551" s="768"/>
      <c r="U551" s="781"/>
      <c r="V551" s="781"/>
      <c r="W551" s="781"/>
      <c r="X551" s="781"/>
      <c r="Y551" s="781"/>
      <c r="Z551" s="781"/>
      <c r="AA551" s="781"/>
      <c r="AB551" s="781"/>
      <c r="AC551" s="740"/>
      <c r="AD551" s="740"/>
      <c r="AE551" s="764"/>
      <c r="AF551" s="764"/>
      <c r="AG551" s="741"/>
      <c r="AH551" s="739"/>
      <c r="AI551" s="742"/>
      <c r="AJ551" s="742"/>
      <c r="AK551" s="742"/>
      <c r="AL551" s="742"/>
      <c r="AM551" s="742"/>
      <c r="AN551" s="742"/>
      <c r="AO551" s="763"/>
      <c r="AP551" s="742"/>
      <c r="AQ551" s="763"/>
      <c r="AR551" s="763"/>
      <c r="AS551" s="742"/>
      <c r="AT551" s="742"/>
      <c r="AU551" s="742"/>
      <c r="AV551" s="742"/>
      <c r="AW551" s="742"/>
    </row>
    <row r="552" spans="2:49" s="98" customFormat="1">
      <c r="B552" s="488"/>
      <c r="C552" s="738"/>
      <c r="D552" s="809"/>
      <c r="E552" s="781"/>
      <c r="F552" s="781"/>
      <c r="G552" s="781"/>
      <c r="H552" s="782"/>
      <c r="I552" s="781"/>
      <c r="J552" s="782"/>
      <c r="K552" s="781"/>
      <c r="L552" s="781"/>
      <c r="M552" s="782"/>
      <c r="N552" s="781"/>
      <c r="O552" s="782"/>
      <c r="P552" s="781"/>
      <c r="Q552" s="781"/>
      <c r="R552" s="781"/>
      <c r="S552" s="768"/>
      <c r="T552" s="768"/>
      <c r="U552" s="781"/>
      <c r="V552" s="781"/>
      <c r="W552" s="781"/>
      <c r="X552" s="781"/>
      <c r="Y552" s="781"/>
      <c r="Z552" s="781"/>
      <c r="AA552" s="781"/>
      <c r="AB552" s="781"/>
      <c r="AC552" s="740"/>
      <c r="AD552" s="740"/>
      <c r="AE552" s="764"/>
      <c r="AF552" s="764"/>
      <c r="AG552" s="741"/>
      <c r="AH552" s="739"/>
      <c r="AI552" s="742"/>
      <c r="AJ552" s="742"/>
      <c r="AK552" s="742"/>
      <c r="AL552" s="742"/>
      <c r="AM552" s="742"/>
      <c r="AN552" s="742"/>
      <c r="AO552" s="763"/>
      <c r="AP552" s="742"/>
      <c r="AQ552" s="763"/>
      <c r="AR552" s="763"/>
      <c r="AS552" s="742"/>
      <c r="AT552" s="742"/>
      <c r="AU552" s="742"/>
      <c r="AV552" s="742"/>
      <c r="AW552" s="742"/>
    </row>
    <row r="553" spans="2:49" s="98" customFormat="1">
      <c r="B553" s="488"/>
      <c r="C553" s="738"/>
      <c r="D553" s="809"/>
      <c r="E553" s="781"/>
      <c r="F553" s="781"/>
      <c r="G553" s="781"/>
      <c r="H553" s="782"/>
      <c r="I553" s="781"/>
      <c r="J553" s="782"/>
      <c r="K553" s="781"/>
      <c r="L553" s="781"/>
      <c r="M553" s="782"/>
      <c r="N553" s="781"/>
      <c r="O553" s="782"/>
      <c r="P553" s="781"/>
      <c r="Q553" s="781"/>
      <c r="R553" s="781"/>
      <c r="S553" s="768"/>
      <c r="T553" s="768"/>
      <c r="U553" s="781"/>
      <c r="V553" s="781"/>
      <c r="W553" s="781"/>
      <c r="X553" s="781"/>
      <c r="Y553" s="781"/>
      <c r="Z553" s="781"/>
      <c r="AA553" s="781"/>
      <c r="AB553" s="781"/>
      <c r="AC553" s="740"/>
      <c r="AD553" s="740"/>
      <c r="AE553" s="764"/>
      <c r="AF553" s="764"/>
      <c r="AG553" s="741"/>
      <c r="AH553" s="739"/>
      <c r="AI553" s="742"/>
      <c r="AJ553" s="742"/>
      <c r="AK553" s="742"/>
      <c r="AL553" s="742"/>
      <c r="AM553" s="742"/>
      <c r="AN553" s="742"/>
      <c r="AO553" s="763"/>
      <c r="AP553" s="742"/>
      <c r="AQ553" s="763"/>
      <c r="AR553" s="763"/>
      <c r="AS553" s="742"/>
      <c r="AT553" s="742"/>
      <c r="AU553" s="742"/>
      <c r="AV553" s="742"/>
      <c r="AW553" s="742"/>
    </row>
  </sheetData>
  <mergeCells count="37">
    <mergeCell ref="B4:B6"/>
    <mergeCell ref="C4:D6"/>
    <mergeCell ref="E4:E6"/>
    <mergeCell ref="F4:F6"/>
    <mergeCell ref="C7:D7"/>
    <mergeCell ref="AC4:AC6"/>
    <mergeCell ref="AA4:AA6"/>
    <mergeCell ref="AB4:AB6"/>
    <mergeCell ref="T5:T6"/>
    <mergeCell ref="G5:G6"/>
    <mergeCell ref="AM6:AN6"/>
    <mergeCell ref="C2:AB2"/>
    <mergeCell ref="G3:W3"/>
    <mergeCell ref="G4:R4"/>
    <mergeCell ref="S4:T4"/>
    <mergeCell ref="U4:W4"/>
    <mergeCell ref="X4:Z4"/>
    <mergeCell ref="AF4:AF6"/>
    <mergeCell ref="AT4:AW5"/>
    <mergeCell ref="I5:Q5"/>
    <mergeCell ref="R5:R6"/>
    <mergeCell ref="S5:S6"/>
    <mergeCell ref="U5:U6"/>
    <mergeCell ref="V5:W5"/>
    <mergeCell ref="X5:X6"/>
    <mergeCell ref="Y5:Z5"/>
    <mergeCell ref="AK6:AL6"/>
    <mergeCell ref="AG4:AG6"/>
    <mergeCell ref="AT6:AU6"/>
    <mergeCell ref="AD4:AD6"/>
    <mergeCell ref="AI6:AJ6"/>
    <mergeCell ref="AH4:AH6"/>
    <mergeCell ref="AI4:AN5"/>
    <mergeCell ref="AO4:AP6"/>
    <mergeCell ref="AQ4:AQ6"/>
    <mergeCell ref="AR4:AS6"/>
    <mergeCell ref="AE4:AE6"/>
  </mergeCells>
  <phoneticPr fontId="66" type="noConversion"/>
  <printOptions verticalCentered="1"/>
  <pageMargins left="0" right="0" top="0.59055118110236227" bottom="0.39370078740157483" header="0" footer="0"/>
  <pageSetup paperSize="9" scale="21" fitToHeight="12" orientation="landscape" r:id="rId1"/>
  <headerFooter alignWithMargins="0"/>
  <rowBreaks count="3" manualBreakCount="3">
    <brk id="187" min="1" max="27" man="1"/>
    <brk id="193" min="1" max="27" man="1"/>
    <brk id="294" min="1" max="2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2"/>
  <sheetViews>
    <sheetView view="pageBreakPreview" zoomScale="45" zoomScaleNormal="100" zoomScaleSheetLayoutView="45" workbookViewId="0">
      <selection activeCell="S13" sqref="S13"/>
    </sheetView>
  </sheetViews>
  <sheetFormatPr defaultRowHeight="26.25"/>
  <cols>
    <col min="1" max="1" width="4.42578125" customWidth="1"/>
    <col min="2" max="2" width="5.28515625" style="641" hidden="1" customWidth="1"/>
    <col min="3" max="3" width="220.42578125" style="641" hidden="1" customWidth="1"/>
    <col min="4" max="4" width="20.42578125" style="641" hidden="1" customWidth="1"/>
    <col min="5" max="5" width="11.5703125" style="641" hidden="1" customWidth="1"/>
    <col min="6" max="6" width="27.140625" style="641" hidden="1" customWidth="1"/>
    <col min="7" max="7" width="164" style="681" hidden="1" customWidth="1"/>
    <col min="8" max="8" width="17.42578125" style="525" customWidth="1"/>
    <col min="9" max="9" width="138.28515625" style="525" bestFit="1" customWidth="1"/>
    <col min="10" max="10" width="25.42578125" style="524" bestFit="1" customWidth="1"/>
    <col min="11" max="11" width="22.42578125" style="524" customWidth="1"/>
    <col min="12" max="13" width="26.5703125" style="525" customWidth="1"/>
    <col min="14" max="14" width="21.7109375" style="524" customWidth="1"/>
    <col min="15" max="15" width="27.5703125" style="525" customWidth="1"/>
    <col min="16" max="16" width="27.5703125" style="540" customWidth="1"/>
    <col min="17" max="17" width="27.5703125" style="545" customWidth="1"/>
    <col min="18" max="18" width="27.5703125" style="541" customWidth="1"/>
    <col min="19" max="19" width="22.85546875" style="545" customWidth="1"/>
    <col min="20" max="20" width="27" style="541" customWidth="1"/>
    <col min="21" max="23" width="11.140625" style="541" hidden="1" customWidth="1"/>
    <col min="24" max="24" width="50.28515625" style="525" hidden="1" customWidth="1"/>
    <col min="25" max="25" width="67.28515625" style="525" bestFit="1" customWidth="1"/>
  </cols>
  <sheetData>
    <row r="1" spans="2:26" ht="27.75">
      <c r="H1" s="526"/>
      <c r="J1" s="527"/>
      <c r="K1" s="527"/>
      <c r="L1" s="1653" t="s">
        <v>620</v>
      </c>
      <c r="M1" s="1653"/>
      <c r="N1" s="1653"/>
      <c r="O1" s="1653"/>
      <c r="P1" s="1653"/>
      <c r="Q1" s="528"/>
      <c r="R1" s="528"/>
      <c r="S1" s="528"/>
      <c r="T1" s="528"/>
      <c r="U1" s="528"/>
      <c r="V1" s="528"/>
      <c r="W1" s="528"/>
      <c r="X1" s="526"/>
      <c r="Y1" s="526"/>
    </row>
    <row r="2" spans="2:26" ht="27.75">
      <c r="H2" s="526"/>
      <c r="J2" s="527"/>
      <c r="K2" s="527"/>
      <c r="L2" s="1642" t="s">
        <v>621</v>
      </c>
      <c r="M2" s="1641"/>
      <c r="N2" s="1641"/>
      <c r="O2" s="1641"/>
      <c r="P2" s="1641"/>
      <c r="Q2" s="529"/>
      <c r="R2" s="529"/>
      <c r="S2" s="529"/>
      <c r="T2" s="529"/>
      <c r="U2" s="529"/>
      <c r="V2" s="529"/>
      <c r="W2" s="529"/>
      <c r="X2" s="526"/>
      <c r="Y2" s="526"/>
    </row>
    <row r="3" spans="2:26" ht="27.75">
      <c r="H3" s="526"/>
      <c r="J3" s="527"/>
      <c r="K3" s="527"/>
      <c r="L3" s="1642" t="s">
        <v>622</v>
      </c>
      <c r="M3" s="1641"/>
      <c r="N3" s="1641"/>
      <c r="O3" s="1641"/>
      <c r="P3" s="1641"/>
      <c r="Q3" s="529"/>
      <c r="R3" s="529"/>
      <c r="S3" s="529"/>
      <c r="T3" s="529"/>
      <c r="U3" s="529"/>
      <c r="V3" s="529"/>
      <c r="W3" s="529"/>
      <c r="X3" s="526"/>
      <c r="Y3" s="526"/>
    </row>
    <row r="4" spans="2:26" ht="27.75">
      <c r="H4" s="526"/>
      <c r="J4" s="527"/>
      <c r="K4" s="527"/>
      <c r="L4" s="1642"/>
      <c r="M4" s="1641"/>
      <c r="N4" s="1641"/>
      <c r="O4" s="1641"/>
      <c r="P4" s="1641"/>
      <c r="Q4" s="529"/>
      <c r="R4" s="529"/>
      <c r="S4" s="529"/>
      <c r="T4" s="529"/>
      <c r="U4" s="529"/>
      <c r="V4" s="529"/>
      <c r="W4" s="529"/>
      <c r="X4" s="526"/>
      <c r="Y4" s="526"/>
    </row>
    <row r="5" spans="2:26" ht="27.75">
      <c r="H5" s="526"/>
      <c r="J5" s="527"/>
      <c r="K5" s="527"/>
      <c r="L5" s="1653" t="s">
        <v>817</v>
      </c>
      <c r="M5" s="1654"/>
      <c r="N5" s="1654"/>
      <c r="O5" s="1654"/>
      <c r="P5" s="1654"/>
      <c r="Q5" s="530"/>
      <c r="R5" s="530"/>
      <c r="S5" s="530"/>
      <c r="T5" s="530"/>
      <c r="U5" s="530"/>
      <c r="V5" s="530"/>
      <c r="W5" s="530"/>
      <c r="X5" s="526"/>
      <c r="Y5" s="526"/>
    </row>
    <row r="6" spans="2:26" ht="27.75">
      <c r="H6" s="526"/>
      <c r="J6" s="527"/>
      <c r="K6" s="527"/>
      <c r="L6" s="1642"/>
      <c r="M6" s="1641"/>
      <c r="N6" s="1641"/>
      <c r="O6" s="1641"/>
      <c r="P6" s="1641"/>
      <c r="Q6" s="529"/>
      <c r="R6" s="529"/>
      <c r="S6" s="529"/>
      <c r="T6" s="529"/>
      <c r="U6" s="529"/>
      <c r="V6" s="529"/>
      <c r="W6" s="529"/>
      <c r="X6" s="526"/>
      <c r="Y6" s="526"/>
    </row>
    <row r="7" spans="2:26" ht="27.75">
      <c r="H7" s="1640" t="s">
        <v>816</v>
      </c>
      <c r="I7" s="1649"/>
      <c r="J7" s="1649"/>
      <c r="K7" s="1649"/>
      <c r="L7" s="1649"/>
      <c r="M7" s="1649"/>
      <c r="N7" s="1649"/>
      <c r="O7" s="1649"/>
      <c r="P7" s="1649"/>
      <c r="Q7" s="531"/>
      <c r="R7" s="531"/>
      <c r="S7" s="531"/>
      <c r="T7" s="531"/>
      <c r="U7" s="531"/>
      <c r="V7" s="531"/>
      <c r="W7" s="531"/>
      <c r="X7" s="526"/>
      <c r="Y7" s="526"/>
    </row>
    <row r="8" spans="2:26" ht="27.75">
      <c r="H8" s="1655" t="s">
        <v>818</v>
      </c>
      <c r="I8" s="1656"/>
      <c r="J8" s="1656"/>
      <c r="K8" s="1656"/>
      <c r="L8" s="1656"/>
      <c r="M8" s="1656"/>
      <c r="N8" s="1656"/>
      <c r="O8" s="1656"/>
      <c r="P8" s="1656"/>
      <c r="Q8" s="532"/>
      <c r="R8" s="532"/>
      <c r="S8" s="532"/>
      <c r="T8" s="532"/>
      <c r="U8" s="532"/>
      <c r="V8" s="532"/>
      <c r="W8" s="532"/>
      <c r="X8" s="526"/>
      <c r="Y8" s="526"/>
    </row>
    <row r="9" spans="2:26" ht="27.75">
      <c r="H9" s="1648" t="s">
        <v>624</v>
      </c>
      <c r="I9" s="1649"/>
      <c r="J9" s="1649"/>
      <c r="K9" s="1649"/>
      <c r="L9" s="1649"/>
      <c r="M9" s="1649"/>
      <c r="N9" s="1649"/>
      <c r="O9" s="1649"/>
      <c r="P9" s="1649"/>
      <c r="Q9" s="531"/>
      <c r="R9" s="533"/>
      <c r="S9" s="531"/>
      <c r="T9" s="531"/>
      <c r="U9" s="531"/>
      <c r="V9" s="531"/>
      <c r="W9" s="531"/>
      <c r="X9" s="526"/>
      <c r="Y9" s="526"/>
    </row>
    <row r="10" spans="2:26" ht="27.75">
      <c r="H10" s="1648" t="s">
        <v>625</v>
      </c>
      <c r="I10" s="1649"/>
      <c r="J10" s="1649"/>
      <c r="K10" s="1649"/>
      <c r="L10" s="1649"/>
      <c r="M10" s="1649"/>
      <c r="N10" s="1649"/>
      <c r="O10" s="1649"/>
      <c r="P10" s="1649"/>
      <c r="S10" s="534"/>
      <c r="T10" s="533"/>
      <c r="U10" s="533"/>
      <c r="V10" s="533"/>
      <c r="W10" s="533"/>
      <c r="X10" s="526"/>
      <c r="Y10" s="526"/>
      <c r="Z10" s="526"/>
    </row>
    <row r="11" spans="2:26" ht="27.75">
      <c r="H11" s="1641" t="s">
        <v>626</v>
      </c>
      <c r="I11" s="1643"/>
      <c r="J11" s="535"/>
      <c r="K11" s="535"/>
      <c r="L11" s="529"/>
      <c r="M11" s="529"/>
      <c r="N11" s="529"/>
      <c r="O11" s="529"/>
      <c r="P11" s="529"/>
      <c r="S11" s="533"/>
      <c r="T11" s="533"/>
      <c r="U11" s="533"/>
      <c r="V11" s="533"/>
      <c r="W11" s="533"/>
      <c r="X11" s="536"/>
      <c r="Y11" s="537"/>
      <c r="Z11" s="537"/>
    </row>
    <row r="12" spans="2:26" ht="27.75">
      <c r="B12" s="642"/>
      <c r="C12" s="642"/>
      <c r="E12" s="642"/>
      <c r="H12" s="526"/>
      <c r="I12" s="1652"/>
      <c r="J12" s="1641"/>
      <c r="K12" s="1641"/>
      <c r="L12" s="538"/>
      <c r="M12" s="538"/>
      <c r="N12" s="538" t="s">
        <v>627</v>
      </c>
      <c r="O12" s="1085">
        <f>J214</f>
        <v>241.25</v>
      </c>
      <c r="P12" s="538" t="s">
        <v>628</v>
      </c>
      <c r="S12" s="533"/>
      <c r="T12" s="533"/>
      <c r="U12" s="533"/>
      <c r="V12" s="533"/>
      <c r="W12" s="533"/>
      <c r="X12" s="536"/>
      <c r="Y12" s="537"/>
      <c r="Z12" s="537"/>
    </row>
    <row r="13" spans="2:26" ht="27.75">
      <c r="B13" s="642"/>
      <c r="C13" s="642"/>
      <c r="E13" s="642"/>
      <c r="H13" s="526"/>
      <c r="I13" s="1640"/>
      <c r="J13" s="1641"/>
      <c r="K13" s="1641"/>
      <c r="L13" s="1642" t="s">
        <v>629</v>
      </c>
      <c r="M13" s="1643"/>
      <c r="N13" s="1643"/>
      <c r="O13" s="1643"/>
      <c r="P13" s="539">
        <f>O214</f>
        <v>1820305.4482212502</v>
      </c>
      <c r="S13" s="533"/>
      <c r="T13" s="533"/>
      <c r="U13" s="533"/>
      <c r="V13" s="533"/>
      <c r="W13" s="533"/>
      <c r="X13" s="536"/>
      <c r="Y13" s="537"/>
      <c r="Z13" s="537"/>
    </row>
    <row r="14" spans="2:26" ht="27.75">
      <c r="B14" s="642"/>
      <c r="C14" s="642"/>
      <c r="E14" s="642"/>
      <c r="H14" s="1644" t="s">
        <v>764</v>
      </c>
      <c r="I14" s="1645"/>
      <c r="J14" s="1645"/>
      <c r="K14" s="1645"/>
      <c r="L14" s="1645"/>
      <c r="M14" s="1645"/>
      <c r="N14" s="1645"/>
      <c r="O14" s="1645"/>
      <c r="P14" s="1645"/>
      <c r="S14" s="533"/>
      <c r="T14" s="533"/>
      <c r="U14" s="533"/>
      <c r="V14" s="533"/>
      <c r="W14" s="533"/>
      <c r="X14" s="533"/>
      <c r="Y14" s="526"/>
      <c r="Z14" s="526"/>
    </row>
    <row r="15" spans="2:26">
      <c r="L15" s="542"/>
      <c r="M15" s="543"/>
      <c r="N15" s="544"/>
      <c r="O15" s="542"/>
      <c r="P15" s="542"/>
      <c r="R15" s="545"/>
      <c r="S15" s="546"/>
      <c r="T15" s="546"/>
      <c r="U15" s="546"/>
      <c r="V15" s="546"/>
      <c r="W15" s="546"/>
      <c r="X15" s="540"/>
      <c r="Y15" s="540"/>
    </row>
    <row r="16" spans="2:26" s="680" customFormat="1">
      <c r="B16" s="1651"/>
      <c r="C16" s="1651"/>
      <c r="D16" s="1651" t="s">
        <v>630</v>
      </c>
      <c r="E16" s="1651"/>
      <c r="F16" s="1651"/>
      <c r="G16" s="1650"/>
      <c r="H16" s="1646" t="s">
        <v>631</v>
      </c>
      <c r="I16" s="1646" t="s">
        <v>632</v>
      </c>
      <c r="J16" s="1646" t="s">
        <v>633</v>
      </c>
      <c r="K16" s="1646" t="s">
        <v>634</v>
      </c>
      <c r="L16" s="730" t="s">
        <v>693</v>
      </c>
      <c r="M16" s="1646" t="s">
        <v>635</v>
      </c>
      <c r="N16" s="1647"/>
      <c r="O16" s="1646" t="s">
        <v>636</v>
      </c>
      <c r="P16" s="1646" t="s">
        <v>830</v>
      </c>
      <c r="Q16" s="1639" t="s">
        <v>637</v>
      </c>
      <c r="R16" s="1639" t="s">
        <v>831</v>
      </c>
      <c r="S16" s="1639" t="s">
        <v>638</v>
      </c>
      <c r="T16" s="1639" t="s">
        <v>639</v>
      </c>
      <c r="U16" s="1639"/>
      <c r="V16" s="1639"/>
      <c r="W16" s="1639"/>
      <c r="X16" s="1639"/>
      <c r="Y16" s="1639"/>
    </row>
    <row r="17" spans="2:25" s="680" customFormat="1" ht="202.5">
      <c r="B17" s="1651"/>
      <c r="C17" s="1651"/>
      <c r="D17" s="1651"/>
      <c r="E17" s="1651"/>
      <c r="F17" s="1651"/>
      <c r="G17" s="1650"/>
      <c r="H17" s="1646"/>
      <c r="I17" s="1646"/>
      <c r="J17" s="1646"/>
      <c r="K17" s="1646"/>
      <c r="L17" s="547" t="s">
        <v>474</v>
      </c>
      <c r="M17" s="547" t="s">
        <v>472</v>
      </c>
      <c r="N17" s="547" t="s">
        <v>640</v>
      </c>
      <c r="O17" s="1646"/>
      <c r="P17" s="1646"/>
      <c r="Q17" s="1639"/>
      <c r="R17" s="1639"/>
      <c r="S17" s="1639"/>
      <c r="T17" s="1639"/>
      <c r="U17" s="1639"/>
      <c r="V17" s="1639"/>
      <c r="W17" s="1639"/>
      <c r="X17" s="1639"/>
      <c r="Y17" s="1639"/>
    </row>
    <row r="18" spans="2:25" s="680" customFormat="1" ht="24.95" customHeight="1">
      <c r="B18" s="728"/>
      <c r="C18" s="728"/>
      <c r="D18" s="728"/>
      <c r="E18" s="728"/>
      <c r="F18" s="728"/>
      <c r="G18" s="729"/>
      <c r="H18" s="549" t="s">
        <v>530</v>
      </c>
      <c r="I18" s="549" t="s">
        <v>491</v>
      </c>
      <c r="J18" s="549" t="s">
        <v>492</v>
      </c>
      <c r="K18" s="549" t="s">
        <v>493</v>
      </c>
      <c r="L18" s="549" t="s">
        <v>641</v>
      </c>
      <c r="M18" s="549" t="s">
        <v>494</v>
      </c>
      <c r="N18" s="549" t="s">
        <v>495</v>
      </c>
      <c r="O18" s="549" t="s">
        <v>496</v>
      </c>
      <c r="P18" s="549" t="s">
        <v>497</v>
      </c>
      <c r="Q18" s="550"/>
      <c r="R18" s="550"/>
      <c r="S18" s="550"/>
      <c r="T18" s="550"/>
      <c r="U18" s="550"/>
      <c r="V18" s="550"/>
      <c r="W18" s="550"/>
      <c r="X18" s="730"/>
      <c r="Y18" s="730"/>
    </row>
    <row r="19" spans="2:25" s="680" customFormat="1" ht="24.95" customHeight="1">
      <c r="B19" s="728"/>
      <c r="C19" s="728"/>
      <c r="D19" s="728"/>
      <c r="E19" s="728"/>
      <c r="F19" s="728"/>
      <c r="G19" s="729"/>
      <c r="H19" s="549"/>
      <c r="I19" s="549"/>
      <c r="J19" s="549"/>
      <c r="K19" s="549"/>
      <c r="L19" s="552"/>
      <c r="M19" s="552"/>
      <c r="N19" s="552"/>
      <c r="O19" s="549"/>
      <c r="P19" s="553"/>
      <c r="Q19" s="550"/>
      <c r="R19" s="554"/>
      <c r="S19" s="550"/>
      <c r="T19" s="554"/>
      <c r="U19" s="554"/>
      <c r="V19" s="554"/>
      <c r="W19" s="554"/>
      <c r="X19" s="555"/>
      <c r="Y19" s="555"/>
    </row>
    <row r="20" spans="2:25" s="680" customFormat="1" ht="24.95" customHeight="1">
      <c r="B20" s="668"/>
      <c r="C20" s="668"/>
      <c r="D20" s="668"/>
      <c r="E20" s="668"/>
      <c r="F20" s="668"/>
      <c r="G20" s="682"/>
      <c r="H20" s="557"/>
      <c r="I20" s="558" t="s">
        <v>809</v>
      </c>
      <c r="J20" s="558"/>
      <c r="K20" s="549"/>
      <c r="L20" s="552"/>
      <c r="M20" s="552"/>
      <c r="N20" s="552"/>
      <c r="O20" s="549"/>
      <c r="P20" s="553"/>
      <c r="Q20" s="550"/>
      <c r="R20" s="554"/>
      <c r="S20" s="550"/>
      <c r="T20" s="554"/>
      <c r="U20" s="554"/>
      <c r="V20" s="554"/>
      <c r="W20" s="554"/>
      <c r="X20" s="551"/>
      <c r="Y20" s="551"/>
    </row>
    <row r="21" spans="2:25" s="680" customFormat="1" ht="24.95" customHeight="1">
      <c r="B21" s="668"/>
      <c r="C21" s="668"/>
      <c r="D21" s="668"/>
      <c r="E21" s="668"/>
      <c r="F21" s="668"/>
      <c r="G21" s="682"/>
      <c r="H21" s="557"/>
      <c r="I21" s="558" t="s">
        <v>810</v>
      </c>
      <c r="J21" s="558"/>
      <c r="K21" s="549"/>
      <c r="L21" s="552"/>
      <c r="M21" s="552"/>
      <c r="N21" s="552"/>
      <c r="O21" s="549"/>
      <c r="P21" s="553"/>
      <c r="Q21" s="550"/>
      <c r="R21" s="554"/>
      <c r="S21" s="550"/>
      <c r="T21" s="554"/>
      <c r="U21" s="554"/>
      <c r="V21" s="554"/>
      <c r="W21" s="554"/>
      <c r="X21" s="551"/>
      <c r="Y21" s="551"/>
    </row>
    <row r="22" spans="2:25" s="680" customFormat="1" ht="24.95" customHeight="1">
      <c r="B22" s="676">
        <v>1</v>
      </c>
      <c r="C22" s="669" t="s">
        <v>739</v>
      </c>
      <c r="D22" s="678" t="s">
        <v>642</v>
      </c>
      <c r="E22" s="679" t="s">
        <v>500</v>
      </c>
      <c r="F22" s="679"/>
      <c r="G22" s="687" t="s">
        <v>698</v>
      </c>
      <c r="H22" s="670"/>
      <c r="I22" s="560" t="str">
        <f ca="1">тарифікація!C12</f>
        <v>Директор</v>
      </c>
      <c r="J22" s="556">
        <f ca="1">тарифікація!S12</f>
        <v>1</v>
      </c>
      <c r="K22" s="561">
        <f ca="1">тарифікація!R12</f>
        <v>15583.313050000001</v>
      </c>
      <c r="L22" s="562">
        <f ca="1">тарифікація!Z12</f>
        <v>4674.993915</v>
      </c>
      <c r="M22" s="562"/>
      <c r="N22" s="562"/>
      <c r="O22" s="562">
        <f ca="1">тарифікація!AB12</f>
        <v>20258.306965</v>
      </c>
      <c r="P22" s="563">
        <f t="shared" ref="P22:P27" si="0">O22*12</f>
        <v>243099.68358000001</v>
      </c>
      <c r="Q22" s="566">
        <f ca="1">тарифікація!AD12</f>
        <v>20258.306965</v>
      </c>
      <c r="R22" s="567">
        <f t="shared" ref="R22:R27" si="1">Q22*12</f>
        <v>243099.68358000001</v>
      </c>
      <c r="S22" s="566">
        <f t="shared" ref="S22:T27" si="2">Q22-O22</f>
        <v>0</v>
      </c>
      <c r="T22" s="567">
        <f t="shared" si="2"/>
        <v>0</v>
      </c>
      <c r="U22" s="567"/>
      <c r="V22" s="567"/>
      <c r="W22" s="567"/>
      <c r="X22" s="551" t="s">
        <v>644</v>
      </c>
      <c r="Y22" s="551" t="s">
        <v>644</v>
      </c>
    </row>
    <row r="23" spans="2:25" s="680" customFormat="1" ht="24.95" customHeight="1">
      <c r="B23" s="676">
        <v>1</v>
      </c>
      <c r="C23" s="669" t="s">
        <v>739</v>
      </c>
      <c r="D23" s="678" t="s">
        <v>642</v>
      </c>
      <c r="E23" s="677"/>
      <c r="F23" s="679" t="s">
        <v>699</v>
      </c>
      <c r="G23" s="687" t="s">
        <v>1643</v>
      </c>
      <c r="H23" s="670"/>
      <c r="I23" s="560" t="str">
        <f ca="1">тарифікація!C13</f>
        <v>Медичний директор</v>
      </c>
      <c r="J23" s="556">
        <f ca="1">тарифікація!S13</f>
        <v>1</v>
      </c>
      <c r="K23" s="561">
        <f ca="1">тарифікація!R13</f>
        <v>14174.3668</v>
      </c>
      <c r="L23" s="562">
        <f ca="1">тарифікація!Z13</f>
        <v>2834.87336</v>
      </c>
      <c r="M23" s="562"/>
      <c r="N23" s="562"/>
      <c r="O23" s="562">
        <f ca="1">тарифікація!AB13</f>
        <v>17009.240160000001</v>
      </c>
      <c r="P23" s="563">
        <f t="shared" si="0"/>
        <v>204110.88192000001</v>
      </c>
      <c r="Q23" s="566">
        <f ca="1">тарифікація!AD13</f>
        <v>20000</v>
      </c>
      <c r="R23" s="567">
        <f t="shared" si="1"/>
        <v>240000</v>
      </c>
      <c r="S23" s="566">
        <f t="shared" si="2"/>
        <v>2990.7598399999988</v>
      </c>
      <c r="T23" s="567">
        <f t="shared" si="2"/>
        <v>35889.118079999986</v>
      </c>
      <c r="U23" s="567"/>
      <c r="V23" s="567"/>
      <c r="W23" s="567"/>
      <c r="X23" s="551" t="s">
        <v>644</v>
      </c>
      <c r="Y23" s="551" t="s">
        <v>644</v>
      </c>
    </row>
    <row r="24" spans="2:25" s="680" customFormat="1" ht="24.95" customHeight="1">
      <c r="B24" s="676">
        <v>1</v>
      </c>
      <c r="C24" s="669" t="s">
        <v>739</v>
      </c>
      <c r="D24" s="678" t="s">
        <v>642</v>
      </c>
      <c r="E24" s="679"/>
      <c r="F24" s="679" t="s">
        <v>699</v>
      </c>
      <c r="G24" s="687" t="s">
        <v>1643</v>
      </c>
      <c r="H24" s="670"/>
      <c r="I24" s="560" t="str">
        <f ca="1">тарифікація!C14</f>
        <v>Заступник медичного директора з якості медичного обслуговування</v>
      </c>
      <c r="J24" s="556">
        <f ca="1">тарифікація!S14</f>
        <v>1</v>
      </c>
      <c r="K24" s="561">
        <f ca="1">тарифікація!R14</f>
        <v>12272.277612500002</v>
      </c>
      <c r="L24" s="562">
        <f ca="1">тарифікація!Z14</f>
        <v>3681.6832837500006</v>
      </c>
      <c r="M24" s="562"/>
      <c r="N24" s="562"/>
      <c r="O24" s="562">
        <f ca="1">тарифікація!AB14</f>
        <v>15953.960896250002</v>
      </c>
      <c r="P24" s="563">
        <f t="shared" si="0"/>
        <v>191447.53075500001</v>
      </c>
      <c r="Q24" s="566">
        <f ca="1">тарифікація!AD14</f>
        <v>20000</v>
      </c>
      <c r="R24" s="567">
        <f t="shared" si="1"/>
        <v>240000</v>
      </c>
      <c r="S24" s="566">
        <f t="shared" si="2"/>
        <v>4046.0391037499976</v>
      </c>
      <c r="T24" s="567">
        <f t="shared" si="2"/>
        <v>48552.469244999986</v>
      </c>
      <c r="U24" s="567"/>
      <c r="V24" s="567"/>
      <c r="W24" s="567"/>
      <c r="X24" s="551" t="s">
        <v>644</v>
      </c>
      <c r="Y24" s="551" t="s">
        <v>644</v>
      </c>
    </row>
    <row r="25" spans="2:25" s="680" customFormat="1" ht="24.95" customHeight="1">
      <c r="B25" s="676">
        <v>1</v>
      </c>
      <c r="C25" s="669" t="s">
        <v>739</v>
      </c>
      <c r="D25" s="678" t="s">
        <v>642</v>
      </c>
      <c r="E25" s="679" t="s">
        <v>500</v>
      </c>
      <c r="F25" s="679"/>
      <c r="G25" s="682"/>
      <c r="H25" s="670"/>
      <c r="I25" s="560" t="str">
        <f ca="1">тарифікація!C15</f>
        <v>Заступник директора з економічних питань</v>
      </c>
      <c r="J25" s="556">
        <f ca="1">тарифікація!S15</f>
        <v>1</v>
      </c>
      <c r="K25" s="561">
        <f ca="1">тарифікація!R15</f>
        <v>13385.036875</v>
      </c>
      <c r="L25" s="562">
        <f ca="1">тарифікація!Z15</f>
        <v>0</v>
      </c>
      <c r="M25" s="562"/>
      <c r="N25" s="562"/>
      <c r="O25" s="562">
        <f ca="1">тарифікація!AB15</f>
        <v>13385.036875</v>
      </c>
      <c r="P25" s="563">
        <f t="shared" si="0"/>
        <v>160620.4425</v>
      </c>
      <c r="Q25" s="566">
        <f ca="1">тарифікація!AD15</f>
        <v>13385.036875</v>
      </c>
      <c r="R25" s="567">
        <f t="shared" si="1"/>
        <v>160620.4425</v>
      </c>
      <c r="S25" s="566">
        <f t="shared" si="2"/>
        <v>0</v>
      </c>
      <c r="T25" s="567">
        <f t="shared" si="2"/>
        <v>0</v>
      </c>
      <c r="U25" s="567"/>
      <c r="V25" s="567"/>
      <c r="W25" s="567"/>
      <c r="X25" s="551" t="s">
        <v>644</v>
      </c>
      <c r="Y25" s="551" t="s">
        <v>644</v>
      </c>
    </row>
    <row r="26" spans="2:25" s="680" customFormat="1" ht="24.95" customHeight="1">
      <c r="B26" s="676">
        <v>1</v>
      </c>
      <c r="C26" s="677" t="s">
        <v>750</v>
      </c>
      <c r="D26" s="678" t="s">
        <v>654</v>
      </c>
      <c r="E26" s="679">
        <v>20619</v>
      </c>
      <c r="F26" s="679">
        <v>78</v>
      </c>
      <c r="G26" s="688" t="s">
        <v>715</v>
      </c>
      <c r="H26" s="670"/>
      <c r="I26" s="560" t="str">
        <f ca="1">тарифікація!C16</f>
        <v>Головна медична сестра (головний медичний брат)</v>
      </c>
      <c r="J26" s="556">
        <f ca="1">тарифікація!S16</f>
        <v>1</v>
      </c>
      <c r="K26" s="561">
        <f ca="1">тарифікація!R16</f>
        <v>7372.5690000000004</v>
      </c>
      <c r="L26" s="562">
        <f ca="1">тарифікація!Z16</f>
        <v>2211.7707</v>
      </c>
      <c r="M26" s="562"/>
      <c r="N26" s="562"/>
      <c r="O26" s="562">
        <f ca="1">тарифікація!AB16</f>
        <v>9584.3397000000004</v>
      </c>
      <c r="P26" s="563">
        <f t="shared" si="0"/>
        <v>115012.07640000001</v>
      </c>
      <c r="Q26" s="566">
        <f ca="1">тарифікація!AD16</f>
        <v>13500</v>
      </c>
      <c r="R26" s="567">
        <f t="shared" si="1"/>
        <v>162000</v>
      </c>
      <c r="S26" s="566">
        <f t="shared" si="2"/>
        <v>3915.6602999999996</v>
      </c>
      <c r="T26" s="567">
        <f t="shared" si="2"/>
        <v>46987.923599999995</v>
      </c>
      <c r="U26" s="567"/>
      <c r="V26" s="567"/>
      <c r="W26" s="567"/>
      <c r="X26" s="551" t="s">
        <v>819</v>
      </c>
      <c r="Y26" s="551" t="s">
        <v>645</v>
      </c>
    </row>
    <row r="27" spans="2:25" s="680" customFormat="1" ht="24.95" customHeight="1">
      <c r="B27" s="676">
        <v>2</v>
      </c>
      <c r="C27" s="677" t="s">
        <v>742</v>
      </c>
      <c r="D27" s="678" t="s">
        <v>651</v>
      </c>
      <c r="E27" s="679"/>
      <c r="F27" s="679">
        <v>76</v>
      </c>
      <c r="G27" s="688" t="s">
        <v>711</v>
      </c>
      <c r="H27" s="670"/>
      <c r="I27" s="560" t="str">
        <f ca="1">тарифікація!C17</f>
        <v>Помічник керівника</v>
      </c>
      <c r="J27" s="556">
        <f ca="1">тарифікація!S17</f>
        <v>1</v>
      </c>
      <c r="K27" s="561">
        <f ca="1">тарифікація!R17</f>
        <v>4195</v>
      </c>
      <c r="L27" s="562">
        <f ca="1">тарифікація!Z17</f>
        <v>0</v>
      </c>
      <c r="M27" s="562"/>
      <c r="N27" s="562"/>
      <c r="O27" s="562">
        <f ca="1">тарифікація!AB17</f>
        <v>6700</v>
      </c>
      <c r="P27" s="563">
        <f t="shared" si="0"/>
        <v>80400</v>
      </c>
      <c r="Q27" s="566">
        <f ca="1">тарифікація!AD17</f>
        <v>6700</v>
      </c>
      <c r="R27" s="567">
        <f t="shared" si="1"/>
        <v>80400</v>
      </c>
      <c r="S27" s="566">
        <f t="shared" si="2"/>
        <v>0</v>
      </c>
      <c r="T27" s="567">
        <f t="shared" si="2"/>
        <v>0</v>
      </c>
      <c r="U27" s="567"/>
      <c r="V27" s="567"/>
      <c r="W27" s="567"/>
      <c r="X27" s="551" t="s">
        <v>821</v>
      </c>
      <c r="Y27" s="551" t="s">
        <v>822</v>
      </c>
    </row>
    <row r="28" spans="2:25" s="680" customFormat="1" ht="24.95" customHeight="1">
      <c r="B28" s="668"/>
      <c r="C28" s="668"/>
      <c r="D28" s="668"/>
      <c r="E28" s="668"/>
      <c r="F28" s="668"/>
      <c r="G28" s="682"/>
      <c r="H28" s="557"/>
      <c r="I28" s="568"/>
      <c r="J28" s="558">
        <f ca="1">SUM(J22:J27)</f>
        <v>6</v>
      </c>
      <c r="K28" s="569">
        <f t="shared" ref="K28:T28" si="3">SUM(K22:K27)</f>
        <v>66982.563337500003</v>
      </c>
      <c r="L28" s="569">
        <f t="shared" si="3"/>
        <v>13403.321258750002</v>
      </c>
      <c r="M28" s="569">
        <f t="shared" si="3"/>
        <v>0</v>
      </c>
      <c r="N28" s="569">
        <f t="shared" si="3"/>
        <v>0</v>
      </c>
      <c r="O28" s="569">
        <f t="shared" si="3"/>
        <v>82890.884596250005</v>
      </c>
      <c r="P28" s="569">
        <f t="shared" si="3"/>
        <v>994690.61515500001</v>
      </c>
      <c r="Q28" s="569">
        <f t="shared" si="3"/>
        <v>93843.343840000001</v>
      </c>
      <c r="R28" s="569">
        <f t="shared" si="3"/>
        <v>1126120.1260799998</v>
      </c>
      <c r="S28" s="569">
        <f t="shared" si="3"/>
        <v>10952.459243749996</v>
      </c>
      <c r="T28" s="569">
        <f t="shared" si="3"/>
        <v>131429.51092499995</v>
      </c>
      <c r="U28" s="569"/>
      <c r="V28" s="569"/>
      <c r="W28" s="569"/>
      <c r="X28" s="571"/>
      <c r="Y28" s="571"/>
    </row>
    <row r="29" spans="2:25" s="680" customFormat="1" ht="24.95" customHeight="1">
      <c r="B29" s="668"/>
      <c r="C29" s="668"/>
      <c r="D29" s="668"/>
      <c r="E29" s="668"/>
      <c r="F29" s="668"/>
      <c r="G29" s="682"/>
      <c r="H29" s="557"/>
      <c r="I29" s="558" t="s">
        <v>812</v>
      </c>
      <c r="J29" s="558"/>
      <c r="K29" s="558"/>
      <c r="L29" s="558"/>
      <c r="M29" s="558"/>
      <c r="N29" s="558"/>
      <c r="O29" s="558"/>
      <c r="P29" s="558"/>
      <c r="Q29" s="572"/>
      <c r="R29" s="572"/>
      <c r="S29" s="572"/>
      <c r="T29" s="572"/>
      <c r="U29" s="572"/>
      <c r="V29" s="572"/>
      <c r="W29" s="572"/>
      <c r="X29" s="573"/>
      <c r="Y29" s="573"/>
    </row>
    <row r="30" spans="2:25" s="694" customFormat="1" ht="24.95" customHeight="1">
      <c r="B30" s="676">
        <v>1</v>
      </c>
      <c r="C30" s="677" t="s">
        <v>740</v>
      </c>
      <c r="D30" s="678">
        <v>1231</v>
      </c>
      <c r="E30" s="679">
        <v>20656</v>
      </c>
      <c r="F30" s="679" t="s">
        <v>700</v>
      </c>
      <c r="G30" s="688" t="s">
        <v>1480</v>
      </c>
      <c r="H30" s="557"/>
      <c r="I30" s="565" t="str">
        <f ca="1">тарифікація!C20</f>
        <v>Головний бухгалтер</v>
      </c>
      <c r="J30" s="556">
        <f ca="1">тарифікація!S20+тарифікація!T20</f>
        <v>1</v>
      </c>
      <c r="K30" s="562">
        <f ca="1">тарифікація!R20</f>
        <v>12680.565250000001</v>
      </c>
      <c r="L30" s="562"/>
      <c r="M30" s="562"/>
      <c r="N30" s="562">
        <f ca="1">тарифікація!AA20</f>
        <v>0</v>
      </c>
      <c r="O30" s="562">
        <f ca="1">тарифікація!AB20</f>
        <v>12680.565250000001</v>
      </c>
      <c r="P30" s="563">
        <f ca="1">O30*12</f>
        <v>152166.78300000002</v>
      </c>
      <c r="Q30" s="566">
        <f ca="1">тарифікація!AD20</f>
        <v>12680.565250000001</v>
      </c>
      <c r="R30" s="567">
        <f t="shared" ref="R30:R36" si="4">Q30*12</f>
        <v>152166.78300000002</v>
      </c>
      <c r="S30" s="566">
        <f t="shared" ref="S30:T36" si="5">Q30-O30</f>
        <v>0</v>
      </c>
      <c r="T30" s="567">
        <f t="shared" si="5"/>
        <v>0</v>
      </c>
      <c r="U30" s="567"/>
      <c r="V30" s="567"/>
      <c r="W30" s="567"/>
      <c r="X30" s="551" t="s">
        <v>819</v>
      </c>
      <c r="Y30" s="551" t="s">
        <v>645</v>
      </c>
    </row>
    <row r="31" spans="2:25" s="694" customFormat="1" ht="24.95" customHeight="1">
      <c r="B31" s="676">
        <v>1</v>
      </c>
      <c r="C31" s="677" t="s">
        <v>740</v>
      </c>
      <c r="D31" s="678">
        <v>1231</v>
      </c>
      <c r="E31" s="679">
        <v>20656</v>
      </c>
      <c r="F31" s="679" t="s">
        <v>700</v>
      </c>
      <c r="G31" s="688" t="s">
        <v>1480</v>
      </c>
      <c r="H31" s="557"/>
      <c r="I31" s="565" t="str">
        <f ca="1">тарифікація!C21</f>
        <v>Заступник головного бухгалтера</v>
      </c>
      <c r="J31" s="556">
        <f ca="1">тарифікація!S21+тарифікація!T21</f>
        <v>1</v>
      </c>
      <c r="K31" s="562">
        <f ca="1">тарифікація!R21</f>
        <v>11412.505125000001</v>
      </c>
      <c r="L31" s="551"/>
      <c r="M31" s="551"/>
      <c r="N31" s="562">
        <f ca="1">тарифікація!AA21</f>
        <v>0</v>
      </c>
      <c r="O31" s="562">
        <f ca="1">тарифікація!AB21</f>
        <v>11412.505125000001</v>
      </c>
      <c r="P31" s="563">
        <f t="shared" ref="P31:P36" si="6">O31*12</f>
        <v>136950.06150000001</v>
      </c>
      <c r="Q31" s="566">
        <f ca="1">тарифікація!AD21</f>
        <v>11412.505125000001</v>
      </c>
      <c r="R31" s="567">
        <f t="shared" si="4"/>
        <v>136950.06150000001</v>
      </c>
      <c r="S31" s="566">
        <f t="shared" si="5"/>
        <v>0</v>
      </c>
      <c r="T31" s="567">
        <f t="shared" si="5"/>
        <v>0</v>
      </c>
      <c r="U31" s="567"/>
      <c r="V31" s="567"/>
      <c r="W31" s="567"/>
      <c r="X31" s="551" t="s">
        <v>819</v>
      </c>
      <c r="Y31" s="551" t="s">
        <v>645</v>
      </c>
    </row>
    <row r="32" spans="2:25" s="793" customFormat="1" ht="24.95" customHeight="1">
      <c r="B32" s="676">
        <v>3</v>
      </c>
      <c r="C32" s="677" t="s">
        <v>741</v>
      </c>
      <c r="D32" s="678">
        <v>3433</v>
      </c>
      <c r="E32" s="679">
        <v>20281</v>
      </c>
      <c r="F32" s="679">
        <v>1</v>
      </c>
      <c r="G32" s="788" t="s">
        <v>1484</v>
      </c>
      <c r="H32" s="789"/>
      <c r="I32" s="565" t="str">
        <f ca="1">тарифікація!C22</f>
        <v>Бухгалтер</v>
      </c>
      <c r="J32" s="556">
        <f ca="1">тарифікація!S22+тарифікація!T22</f>
        <v>1</v>
      </c>
      <c r="K32" s="562">
        <f ca="1">тарифікація!R22</f>
        <v>4745</v>
      </c>
      <c r="L32" s="790"/>
      <c r="M32" s="790"/>
      <c r="N32" s="562">
        <f ca="1">тарифікація!AA22</f>
        <v>1955</v>
      </c>
      <c r="O32" s="562">
        <f ca="1">тарифікація!AB22</f>
        <v>6700</v>
      </c>
      <c r="P32" s="563">
        <f t="shared" si="6"/>
        <v>80400</v>
      </c>
      <c r="Q32" s="566">
        <f ca="1">тарифікація!AD22</f>
        <v>6700</v>
      </c>
      <c r="R32" s="791">
        <f t="shared" si="4"/>
        <v>80400</v>
      </c>
      <c r="S32" s="792">
        <f t="shared" si="5"/>
        <v>0</v>
      </c>
      <c r="T32" s="791">
        <f t="shared" si="5"/>
        <v>0</v>
      </c>
      <c r="U32" s="791"/>
      <c r="V32" s="791"/>
      <c r="W32" s="791"/>
      <c r="X32" s="790" t="s">
        <v>820</v>
      </c>
      <c r="Y32" s="790" t="s">
        <v>647</v>
      </c>
    </row>
    <row r="33" spans="2:25" s="793" customFormat="1" ht="24.95" customHeight="1">
      <c r="B33" s="676">
        <v>2</v>
      </c>
      <c r="C33" s="677" t="s">
        <v>742</v>
      </c>
      <c r="D33" s="678" t="s">
        <v>646</v>
      </c>
      <c r="E33" s="679">
        <v>20281</v>
      </c>
      <c r="F33" s="679">
        <v>1</v>
      </c>
      <c r="G33" s="788" t="s">
        <v>708</v>
      </c>
      <c r="H33" s="789"/>
      <c r="I33" s="565" t="str">
        <f ca="1">тарифікація!C23</f>
        <v>Бухгалтер</v>
      </c>
      <c r="J33" s="556">
        <f ca="1">тарифікація!S23+тарифікація!T23</f>
        <v>1</v>
      </c>
      <c r="K33" s="562">
        <f ca="1">тарифікація!R23</f>
        <v>4455</v>
      </c>
      <c r="L33" s="790"/>
      <c r="M33" s="790"/>
      <c r="N33" s="562">
        <f ca="1">тарифікація!AA23</f>
        <v>2245</v>
      </c>
      <c r="O33" s="562">
        <f ca="1">тарифікація!AB23</f>
        <v>6700</v>
      </c>
      <c r="P33" s="563">
        <f t="shared" si="6"/>
        <v>80400</v>
      </c>
      <c r="Q33" s="566">
        <f ca="1">тарифікація!AD23</f>
        <v>6700</v>
      </c>
      <c r="R33" s="791">
        <f t="shared" si="4"/>
        <v>80400</v>
      </c>
      <c r="S33" s="792">
        <f t="shared" si="5"/>
        <v>0</v>
      </c>
      <c r="T33" s="791">
        <f t="shared" si="5"/>
        <v>0</v>
      </c>
      <c r="U33" s="791"/>
      <c r="V33" s="791"/>
      <c r="W33" s="791"/>
      <c r="X33" s="790" t="s">
        <v>821</v>
      </c>
      <c r="Y33" s="790" t="s">
        <v>647</v>
      </c>
    </row>
    <row r="34" spans="2:25" s="793" customFormat="1" ht="24.95" customHeight="1">
      <c r="B34" s="676">
        <v>2</v>
      </c>
      <c r="C34" s="677" t="s">
        <v>742</v>
      </c>
      <c r="D34" s="678" t="s">
        <v>709</v>
      </c>
      <c r="E34" s="679"/>
      <c r="F34" s="679">
        <v>76</v>
      </c>
      <c r="G34" s="788" t="s">
        <v>710</v>
      </c>
      <c r="H34" s="789"/>
      <c r="I34" s="565" t="str">
        <f ca="1">тарифікація!C24</f>
        <v xml:space="preserve">Бухгалтер </v>
      </c>
      <c r="J34" s="556">
        <f ca="1">тарифікація!S24+тарифікація!T24</f>
        <v>0.5</v>
      </c>
      <c r="K34" s="562">
        <f ca="1">тарифікація!R24</f>
        <v>4455</v>
      </c>
      <c r="L34" s="790"/>
      <c r="M34" s="790"/>
      <c r="N34" s="562">
        <f ca="1">тарифікація!AA24</f>
        <v>1122.5</v>
      </c>
      <c r="O34" s="562">
        <f ca="1">тарифікація!AB24</f>
        <v>3350</v>
      </c>
      <c r="P34" s="563">
        <f t="shared" si="6"/>
        <v>40200</v>
      </c>
      <c r="Q34" s="566">
        <f ca="1">тарифікація!AD24</f>
        <v>3350</v>
      </c>
      <c r="R34" s="791">
        <f t="shared" si="4"/>
        <v>40200</v>
      </c>
      <c r="S34" s="792">
        <f t="shared" si="5"/>
        <v>0</v>
      </c>
      <c r="T34" s="791">
        <f t="shared" si="5"/>
        <v>0</v>
      </c>
      <c r="U34" s="791"/>
      <c r="V34" s="791"/>
      <c r="W34" s="791"/>
      <c r="X34" s="790" t="s">
        <v>821</v>
      </c>
      <c r="Y34" s="790" t="s">
        <v>647</v>
      </c>
    </row>
    <row r="35" spans="2:25" s="793" customFormat="1" ht="24.95" customHeight="1">
      <c r="B35" s="676">
        <v>2</v>
      </c>
      <c r="C35" s="677" t="s">
        <v>742</v>
      </c>
      <c r="D35" s="678" t="s">
        <v>709</v>
      </c>
      <c r="E35" s="679"/>
      <c r="F35" s="679">
        <v>76</v>
      </c>
      <c r="G35" s="788" t="s">
        <v>710</v>
      </c>
      <c r="H35" s="789"/>
      <c r="I35" s="565" t="str">
        <f ca="1">тарифікація!C25</f>
        <v xml:space="preserve">Бухгалтер </v>
      </c>
      <c r="J35" s="556">
        <f ca="1">тарифікація!S25+тарифікація!T25</f>
        <v>0.5</v>
      </c>
      <c r="K35" s="562">
        <f ca="1">тарифікація!R25</f>
        <v>5265</v>
      </c>
      <c r="L35" s="790"/>
      <c r="M35" s="790"/>
      <c r="N35" s="562">
        <f ca="1">тарифікація!AA25</f>
        <v>717.5</v>
      </c>
      <c r="O35" s="562">
        <f ca="1">тарифікація!AB25</f>
        <v>3350</v>
      </c>
      <c r="P35" s="563">
        <f t="shared" si="6"/>
        <v>40200</v>
      </c>
      <c r="Q35" s="566">
        <f ca="1">тарифікація!AD25</f>
        <v>3350</v>
      </c>
      <c r="R35" s="791">
        <f t="shared" si="4"/>
        <v>40200</v>
      </c>
      <c r="S35" s="792">
        <f t="shared" si="5"/>
        <v>0</v>
      </c>
      <c r="T35" s="791">
        <f t="shared" si="5"/>
        <v>0</v>
      </c>
      <c r="U35" s="791"/>
      <c r="V35" s="791"/>
      <c r="W35" s="791"/>
      <c r="X35" s="790" t="s">
        <v>821</v>
      </c>
      <c r="Y35" s="790" t="s">
        <v>647</v>
      </c>
    </row>
    <row r="36" spans="2:25" s="694" customFormat="1" ht="24.95" customHeight="1">
      <c r="B36" s="676">
        <v>4</v>
      </c>
      <c r="C36" s="677" t="s">
        <v>745</v>
      </c>
      <c r="D36" s="678">
        <v>4211</v>
      </c>
      <c r="E36" s="679">
        <v>22921</v>
      </c>
      <c r="F36" s="679">
        <v>1</v>
      </c>
      <c r="G36" s="688" t="s">
        <v>712</v>
      </c>
      <c r="H36" s="557"/>
      <c r="I36" s="565" t="str">
        <f ca="1">тарифікація!C26</f>
        <v>Касир</v>
      </c>
      <c r="J36" s="556">
        <f ca="1">тарифікація!S26+тарифікація!T26</f>
        <v>1</v>
      </c>
      <c r="K36" s="562">
        <f ca="1">тарифікація!R26</f>
        <v>3674</v>
      </c>
      <c r="L36" s="551"/>
      <c r="M36" s="551"/>
      <c r="N36" s="562">
        <f ca="1">тарифікація!AA26</f>
        <v>3026</v>
      </c>
      <c r="O36" s="562">
        <f ca="1">тарифікація!AB26</f>
        <v>6700</v>
      </c>
      <c r="P36" s="563">
        <f t="shared" si="6"/>
        <v>80400</v>
      </c>
      <c r="Q36" s="566">
        <f ca="1">тарифікація!AD26</f>
        <v>6700</v>
      </c>
      <c r="R36" s="567">
        <f t="shared" si="4"/>
        <v>80400</v>
      </c>
      <c r="S36" s="566">
        <f t="shared" si="5"/>
        <v>0</v>
      </c>
      <c r="T36" s="567">
        <f t="shared" si="5"/>
        <v>0</v>
      </c>
      <c r="U36" s="567"/>
      <c r="V36" s="567"/>
      <c r="W36" s="567"/>
      <c r="X36" s="551" t="s">
        <v>823</v>
      </c>
      <c r="Y36" s="551" t="s">
        <v>647</v>
      </c>
    </row>
    <row r="37" spans="2:25" s="785" customFormat="1" ht="24.95" customHeight="1">
      <c r="B37" s="689"/>
      <c r="C37" s="691"/>
      <c r="D37" s="692"/>
      <c r="E37" s="693"/>
      <c r="F37" s="693"/>
      <c r="G37" s="783"/>
      <c r="H37" s="667"/>
      <c r="I37" s="784"/>
      <c r="J37" s="558">
        <f ca="1">SUM(J30:J36)</f>
        <v>6</v>
      </c>
      <c r="K37" s="569">
        <f t="shared" ref="K37:T37" si="7">SUM(K30:K36)</f>
        <v>46687.070375000003</v>
      </c>
      <c r="L37" s="569">
        <f t="shared" si="7"/>
        <v>0</v>
      </c>
      <c r="M37" s="569">
        <f t="shared" si="7"/>
        <v>0</v>
      </c>
      <c r="N37" s="569">
        <f t="shared" si="7"/>
        <v>9066</v>
      </c>
      <c r="O37" s="569">
        <f t="shared" si="7"/>
        <v>50893.070375000003</v>
      </c>
      <c r="P37" s="569">
        <f t="shared" si="7"/>
        <v>610716.84450000001</v>
      </c>
      <c r="Q37" s="569">
        <f t="shared" si="7"/>
        <v>50893.070375000003</v>
      </c>
      <c r="R37" s="569">
        <f t="shared" si="7"/>
        <v>610716.84450000001</v>
      </c>
      <c r="S37" s="569">
        <f t="shared" si="7"/>
        <v>0</v>
      </c>
      <c r="T37" s="569">
        <f t="shared" si="7"/>
        <v>0</v>
      </c>
      <c r="U37" s="569"/>
      <c r="V37" s="569"/>
      <c r="W37" s="569"/>
      <c r="X37" s="786"/>
      <c r="Y37" s="786"/>
    </row>
    <row r="38" spans="2:25" s="785" customFormat="1" ht="24.95" customHeight="1">
      <c r="B38" s="689"/>
      <c r="C38" s="691"/>
      <c r="D38" s="692"/>
      <c r="E38" s="693"/>
      <c r="F38" s="693"/>
      <c r="G38" s="783"/>
      <c r="H38" s="667"/>
      <c r="I38" s="724" t="s">
        <v>815</v>
      </c>
      <c r="J38" s="558"/>
      <c r="K38" s="569"/>
      <c r="L38" s="569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74"/>
      <c r="Y38" s="574"/>
    </row>
    <row r="39" spans="2:25" s="680" customFormat="1" ht="24.95" customHeight="1">
      <c r="B39" s="676">
        <v>2</v>
      </c>
      <c r="C39" s="677" t="s">
        <v>742</v>
      </c>
      <c r="D39" s="678" t="s">
        <v>649</v>
      </c>
      <c r="E39" s="679">
        <v>22481</v>
      </c>
      <c r="F39" s="679">
        <v>1</v>
      </c>
      <c r="G39" s="688" t="s">
        <v>702</v>
      </c>
      <c r="H39" s="557"/>
      <c r="I39" s="575" t="str">
        <f ca="1">тарифікація!C29</f>
        <v xml:space="preserve">Інженер - програміст </v>
      </c>
      <c r="J39" s="556">
        <f ca="1">тарифікація!S29+тарифікація!T29</f>
        <v>1</v>
      </c>
      <c r="K39" s="562">
        <f ca="1">тарифікація!R29</f>
        <v>4455</v>
      </c>
      <c r="L39" s="574"/>
      <c r="M39" s="574"/>
      <c r="N39" s="562">
        <f ca="1">тарифікація!AA29</f>
        <v>2245</v>
      </c>
      <c r="O39" s="562">
        <f ca="1">тарифікація!AB29</f>
        <v>6700</v>
      </c>
      <c r="P39" s="563">
        <f ca="1">O39*12</f>
        <v>80400</v>
      </c>
      <c r="Q39" s="566">
        <f ca="1">тарифікація!AD29</f>
        <v>6700</v>
      </c>
      <c r="R39" s="567">
        <f>Q39*12</f>
        <v>80400</v>
      </c>
      <c r="S39" s="566">
        <f t="shared" ref="S39:T41" si="8">Q39-O39</f>
        <v>0</v>
      </c>
      <c r="T39" s="567">
        <f t="shared" si="8"/>
        <v>0</v>
      </c>
      <c r="U39" s="567"/>
      <c r="V39" s="567"/>
      <c r="W39" s="567"/>
      <c r="X39" s="551" t="s">
        <v>821</v>
      </c>
      <c r="Y39" s="551" t="s">
        <v>647</v>
      </c>
    </row>
    <row r="40" spans="2:25" s="680" customFormat="1" ht="24.95" customHeight="1">
      <c r="B40" s="676">
        <v>3</v>
      </c>
      <c r="C40" s="677" t="s">
        <v>751</v>
      </c>
      <c r="D40" s="678">
        <v>3231</v>
      </c>
      <c r="E40" s="679">
        <v>24872</v>
      </c>
      <c r="F40" s="679">
        <v>78</v>
      </c>
      <c r="G40" s="688" t="s">
        <v>1440</v>
      </c>
      <c r="H40" s="557"/>
      <c r="I40" s="575" t="str">
        <f ca="1">тарифікація!C30</f>
        <v>Статистик медичний</v>
      </c>
      <c r="J40" s="556">
        <f ca="1">тарифікація!S30+тарифікація!T30</f>
        <v>0.5</v>
      </c>
      <c r="K40" s="562">
        <f ca="1">тарифікація!R30</f>
        <v>4745</v>
      </c>
      <c r="L40" s="563">
        <f ca="1">тарифікація!Z30</f>
        <v>949</v>
      </c>
      <c r="M40" s="563"/>
      <c r="N40" s="562">
        <f ca="1">тарифікація!AA30</f>
        <v>503</v>
      </c>
      <c r="O40" s="562">
        <f ca="1">тарифікація!AB30</f>
        <v>3350</v>
      </c>
      <c r="P40" s="563">
        <f ca="1">O40*12</f>
        <v>40200</v>
      </c>
      <c r="Q40" s="566">
        <f ca="1">тарифікація!AD30</f>
        <v>6750</v>
      </c>
      <c r="R40" s="567">
        <f>Q40*12</f>
        <v>81000</v>
      </c>
      <c r="S40" s="566">
        <f t="shared" si="8"/>
        <v>3400</v>
      </c>
      <c r="T40" s="567">
        <f t="shared" si="8"/>
        <v>40800</v>
      </c>
      <c r="U40" s="567"/>
      <c r="V40" s="567"/>
      <c r="W40" s="567"/>
      <c r="X40" s="548" t="s">
        <v>824</v>
      </c>
      <c r="Y40" s="548" t="s">
        <v>655</v>
      </c>
    </row>
    <row r="41" spans="2:25" s="680" customFormat="1" ht="24.95" customHeight="1">
      <c r="B41" s="676">
        <v>4</v>
      </c>
      <c r="C41" s="677" t="s">
        <v>745</v>
      </c>
      <c r="D41" s="678">
        <v>4222</v>
      </c>
      <c r="E41" s="679">
        <v>24528</v>
      </c>
      <c r="F41" s="679">
        <v>78</v>
      </c>
      <c r="G41" s="688" t="s">
        <v>1478</v>
      </c>
      <c r="H41" s="557"/>
      <c r="I41" s="575" t="str">
        <f ca="1">тарифікація!C31</f>
        <v>Реєстратор медичний</v>
      </c>
      <c r="J41" s="556">
        <f ca="1">тарифікація!S31+тарифікація!T31</f>
        <v>1</v>
      </c>
      <c r="K41" s="562">
        <f ca="1">тарифікація!R31</f>
        <v>3934</v>
      </c>
      <c r="L41" s="563"/>
      <c r="M41" s="563"/>
      <c r="N41" s="562">
        <f ca="1">тарифікація!AA31</f>
        <v>2766</v>
      </c>
      <c r="O41" s="562">
        <f ca="1">тарифікація!AB31</f>
        <v>6700</v>
      </c>
      <c r="P41" s="563">
        <f ca="1">O41*12</f>
        <v>80400</v>
      </c>
      <c r="Q41" s="566">
        <f ca="1">тарифікація!AD31</f>
        <v>6700</v>
      </c>
      <c r="R41" s="567">
        <f>Q41*12</f>
        <v>80400</v>
      </c>
      <c r="S41" s="566">
        <f t="shared" si="8"/>
        <v>0</v>
      </c>
      <c r="T41" s="567">
        <f t="shared" si="8"/>
        <v>0</v>
      </c>
      <c r="U41" s="567"/>
      <c r="V41" s="567"/>
      <c r="W41" s="567"/>
      <c r="X41" s="548" t="s">
        <v>823</v>
      </c>
      <c r="Y41" s="548" t="s">
        <v>647</v>
      </c>
    </row>
    <row r="42" spans="2:25" s="785" customFormat="1" ht="24.95" customHeight="1">
      <c r="B42" s="689"/>
      <c r="C42" s="691"/>
      <c r="D42" s="692"/>
      <c r="E42" s="693"/>
      <c r="F42" s="693"/>
      <c r="G42" s="783"/>
      <c r="H42" s="667"/>
      <c r="I42" s="784"/>
      <c r="J42" s="558">
        <f ca="1">SUM(J39:J41)</f>
        <v>2.5</v>
      </c>
      <c r="K42" s="569">
        <f t="shared" ref="K42:T42" si="9">SUM(K39:K41)</f>
        <v>13134</v>
      </c>
      <c r="L42" s="569">
        <f t="shared" si="9"/>
        <v>949</v>
      </c>
      <c r="M42" s="569">
        <f t="shared" si="9"/>
        <v>0</v>
      </c>
      <c r="N42" s="569">
        <f t="shared" si="9"/>
        <v>5514</v>
      </c>
      <c r="O42" s="569">
        <f t="shared" si="9"/>
        <v>16750</v>
      </c>
      <c r="P42" s="569">
        <f t="shared" si="9"/>
        <v>201000</v>
      </c>
      <c r="Q42" s="569">
        <f t="shared" si="9"/>
        <v>20150</v>
      </c>
      <c r="R42" s="569">
        <f t="shared" si="9"/>
        <v>241800</v>
      </c>
      <c r="S42" s="569">
        <f t="shared" si="9"/>
        <v>3400</v>
      </c>
      <c r="T42" s="569">
        <f t="shared" si="9"/>
        <v>40800</v>
      </c>
      <c r="U42" s="569"/>
      <c r="V42" s="569"/>
      <c r="W42" s="569"/>
      <c r="X42" s="558"/>
      <c r="Y42" s="558"/>
    </row>
    <row r="43" spans="2:25" s="785" customFormat="1" ht="24.95" customHeight="1">
      <c r="B43" s="689"/>
      <c r="C43" s="691"/>
      <c r="D43" s="692"/>
      <c r="E43" s="693"/>
      <c r="F43" s="693"/>
      <c r="G43" s="783"/>
      <c r="H43" s="667"/>
      <c r="I43" s="724" t="s">
        <v>813</v>
      </c>
      <c r="J43" s="558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74"/>
      <c r="Y43" s="574"/>
    </row>
    <row r="44" spans="2:25" s="680" customFormat="1" ht="24.95" customHeight="1">
      <c r="B44" s="676">
        <v>2</v>
      </c>
      <c r="C44" s="677" t="s">
        <v>742</v>
      </c>
      <c r="D44" s="678">
        <v>3423</v>
      </c>
      <c r="E44" s="679">
        <v>22601</v>
      </c>
      <c r="F44" s="679">
        <v>1</v>
      </c>
      <c r="G44" s="688" t="s">
        <v>707</v>
      </c>
      <c r="H44" s="557"/>
      <c r="I44" s="565" t="str">
        <f ca="1">тарифікація!C34</f>
        <v>Cтарший інспектор з кадрів</v>
      </c>
      <c r="J44" s="556">
        <f ca="1">тарифікація!S34+тарифікація!T34</f>
        <v>1</v>
      </c>
      <c r="K44" s="562">
        <f ca="1">тарифікація!R34</f>
        <v>4455</v>
      </c>
      <c r="L44" s="562"/>
      <c r="M44" s="562"/>
      <c r="N44" s="562">
        <f ca="1">тарифікація!AA34</f>
        <v>2245</v>
      </c>
      <c r="O44" s="562">
        <f ca="1">тарифікація!AB34</f>
        <v>6700</v>
      </c>
      <c r="P44" s="563">
        <f t="shared" ref="P44:P49" si="10">O44*12</f>
        <v>80400</v>
      </c>
      <c r="Q44" s="566">
        <f ca="1">тарифікація!AD34</f>
        <v>6700</v>
      </c>
      <c r="R44" s="567">
        <f t="shared" ref="R44:R49" si="11">Q44*12</f>
        <v>80400</v>
      </c>
      <c r="S44" s="566">
        <f t="shared" ref="S44:S49" si="12">Q44-O44</f>
        <v>0</v>
      </c>
      <c r="T44" s="567">
        <f t="shared" ref="T44:T49" si="13">R44-P44</f>
        <v>0</v>
      </c>
      <c r="U44" s="567"/>
      <c r="V44" s="567"/>
      <c r="W44" s="567"/>
      <c r="X44" s="551" t="s">
        <v>821</v>
      </c>
      <c r="Y44" s="551" t="s">
        <v>647</v>
      </c>
    </row>
    <row r="45" spans="2:25" s="680" customFormat="1" ht="24.95" customHeight="1">
      <c r="B45" s="676">
        <v>2</v>
      </c>
      <c r="C45" s="677" t="s">
        <v>742</v>
      </c>
      <c r="D45" s="678" t="s">
        <v>650</v>
      </c>
      <c r="E45" s="679"/>
      <c r="F45" s="679"/>
      <c r="G45" s="688" t="s">
        <v>705</v>
      </c>
      <c r="H45" s="557"/>
      <c r="I45" s="565" t="str">
        <f ca="1">тарифікація!C35</f>
        <v xml:space="preserve">Фахівець з питань цивільного захисту </v>
      </c>
      <c r="J45" s="556">
        <f ca="1">тарифікація!S35+тарифікація!T35</f>
        <v>1</v>
      </c>
      <c r="K45" s="562">
        <f ca="1">тарифікація!R35</f>
        <v>5265</v>
      </c>
      <c r="L45" s="562"/>
      <c r="M45" s="562"/>
      <c r="N45" s="562">
        <f ca="1">тарифікація!AA35</f>
        <v>1435</v>
      </c>
      <c r="O45" s="562">
        <f ca="1">тарифікація!AB35</f>
        <v>6700</v>
      </c>
      <c r="P45" s="563">
        <f t="shared" si="10"/>
        <v>80400</v>
      </c>
      <c r="Q45" s="566">
        <f ca="1">тарифікація!AD35</f>
        <v>6700</v>
      </c>
      <c r="R45" s="567">
        <f t="shared" si="11"/>
        <v>80400</v>
      </c>
      <c r="S45" s="566">
        <f t="shared" si="12"/>
        <v>0</v>
      </c>
      <c r="T45" s="567">
        <f t="shared" si="13"/>
        <v>0</v>
      </c>
      <c r="U45" s="567"/>
      <c r="V45" s="567"/>
      <c r="W45" s="567"/>
      <c r="X45" s="551" t="s">
        <v>821</v>
      </c>
      <c r="Y45" s="551" t="s">
        <v>647</v>
      </c>
    </row>
    <row r="46" spans="2:25" s="680" customFormat="1" ht="24.95" customHeight="1">
      <c r="B46" s="676">
        <v>2</v>
      </c>
      <c r="C46" s="677" t="s">
        <v>742</v>
      </c>
      <c r="D46" s="678" t="s">
        <v>706</v>
      </c>
      <c r="E46" s="679"/>
      <c r="F46" s="679"/>
      <c r="G46" s="688" t="s">
        <v>1744</v>
      </c>
      <c r="H46" s="557"/>
      <c r="I46" s="565" t="str">
        <f ca="1">тарифікація!C36</f>
        <v>Фахівець з публічних закупівель</v>
      </c>
      <c r="J46" s="556">
        <f ca="1">тарифікація!S36+тарифікація!T36</f>
        <v>1</v>
      </c>
      <c r="K46" s="562">
        <f ca="1">тарифікація!R36</f>
        <v>4455</v>
      </c>
      <c r="L46" s="562"/>
      <c r="M46" s="562"/>
      <c r="N46" s="562">
        <f ca="1">тарифікація!AA36</f>
        <v>2245</v>
      </c>
      <c r="O46" s="562">
        <f ca="1">тарифікація!AB36</f>
        <v>6700</v>
      </c>
      <c r="P46" s="563">
        <f t="shared" si="10"/>
        <v>80400</v>
      </c>
      <c r="Q46" s="566">
        <f ca="1">тарифікація!AD36</f>
        <v>6700</v>
      </c>
      <c r="R46" s="567">
        <f t="shared" si="11"/>
        <v>80400</v>
      </c>
      <c r="S46" s="566">
        <f t="shared" si="12"/>
        <v>0</v>
      </c>
      <c r="T46" s="567">
        <f t="shared" si="13"/>
        <v>0</v>
      </c>
      <c r="U46" s="567"/>
      <c r="V46" s="567"/>
      <c r="W46" s="567"/>
      <c r="X46" s="551" t="s">
        <v>821</v>
      </c>
      <c r="Y46" s="551" t="s">
        <v>647</v>
      </c>
    </row>
    <row r="47" spans="2:25" s="680" customFormat="1" ht="24.95" customHeight="1">
      <c r="B47" s="676">
        <v>2</v>
      </c>
      <c r="C47" s="677" t="s">
        <v>742</v>
      </c>
      <c r="D47" s="678">
        <v>2429</v>
      </c>
      <c r="E47" s="679">
        <v>25500</v>
      </c>
      <c r="F47" s="679">
        <v>1</v>
      </c>
      <c r="G47" s="688" t="s">
        <v>1509</v>
      </c>
      <c r="H47" s="557"/>
      <c r="I47" s="565" t="str">
        <f ca="1">тарифікація!C37</f>
        <v>Юрисконсульт</v>
      </c>
      <c r="J47" s="556">
        <f ca="1">тарифікація!S37+тарифікація!T37</f>
        <v>1</v>
      </c>
      <c r="K47" s="562">
        <f ca="1">тарифікація!R37</f>
        <v>4455</v>
      </c>
      <c r="L47" s="562"/>
      <c r="M47" s="562"/>
      <c r="N47" s="562">
        <f ca="1">тарифікація!AA37</f>
        <v>2245</v>
      </c>
      <c r="O47" s="562">
        <f ca="1">тарифікація!AB37</f>
        <v>6700</v>
      </c>
      <c r="P47" s="563">
        <f t="shared" si="10"/>
        <v>80400</v>
      </c>
      <c r="Q47" s="566">
        <f ca="1">тарифікація!AD37</f>
        <v>6700</v>
      </c>
      <c r="R47" s="567">
        <f t="shared" si="11"/>
        <v>80400</v>
      </c>
      <c r="S47" s="566">
        <f t="shared" si="12"/>
        <v>0</v>
      </c>
      <c r="T47" s="567">
        <f t="shared" si="13"/>
        <v>0</v>
      </c>
      <c r="U47" s="567"/>
      <c r="V47" s="567"/>
      <c r="W47" s="567"/>
      <c r="X47" s="551" t="s">
        <v>821</v>
      </c>
      <c r="Y47" s="551" t="s">
        <v>647</v>
      </c>
    </row>
    <row r="48" spans="2:25" s="680" customFormat="1" ht="24.95" customHeight="1">
      <c r="B48" s="676">
        <v>2</v>
      </c>
      <c r="C48" s="677" t="s">
        <v>742</v>
      </c>
      <c r="D48" s="678" t="s">
        <v>652</v>
      </c>
      <c r="E48" s="679">
        <v>24459</v>
      </c>
      <c r="F48" s="679">
        <v>1</v>
      </c>
      <c r="G48" s="688" t="s">
        <v>1690</v>
      </c>
      <c r="H48" s="557"/>
      <c r="I48" s="565" t="str">
        <f ca="1">тарифікація!C38</f>
        <v>Психолог</v>
      </c>
      <c r="J48" s="556">
        <f ca="1">тарифікація!S38+тарифікація!T38</f>
        <v>0.5</v>
      </c>
      <c r="K48" s="562">
        <f ca="1">тарифікація!R38</f>
        <v>5265</v>
      </c>
      <c r="L48" s="562"/>
      <c r="M48" s="562"/>
      <c r="N48" s="562">
        <f ca="1">тарифікація!AA38</f>
        <v>717.5</v>
      </c>
      <c r="O48" s="562">
        <f ca="1">тарифікація!AB38</f>
        <v>3350</v>
      </c>
      <c r="P48" s="563">
        <f t="shared" si="10"/>
        <v>40200</v>
      </c>
      <c r="Q48" s="566">
        <f ca="1">тарифікація!AD38</f>
        <v>3350</v>
      </c>
      <c r="R48" s="567">
        <f t="shared" si="11"/>
        <v>40200</v>
      </c>
      <c r="S48" s="566">
        <f t="shared" si="12"/>
        <v>0</v>
      </c>
      <c r="T48" s="567">
        <f t="shared" si="13"/>
        <v>0</v>
      </c>
      <c r="U48" s="567"/>
      <c r="V48" s="567"/>
      <c r="W48" s="567"/>
      <c r="X48" s="551" t="s">
        <v>821</v>
      </c>
      <c r="Y48" s="551" t="s">
        <v>647</v>
      </c>
    </row>
    <row r="49" spans="2:25" s="680" customFormat="1" ht="24.95" customHeight="1">
      <c r="B49" s="676">
        <v>2</v>
      </c>
      <c r="C49" s="677" t="s">
        <v>742</v>
      </c>
      <c r="D49" s="678" t="s">
        <v>650</v>
      </c>
      <c r="E49" s="679" t="s">
        <v>500</v>
      </c>
      <c r="F49" s="679">
        <v>1</v>
      </c>
      <c r="G49" s="688" t="s">
        <v>703</v>
      </c>
      <c r="H49" s="557"/>
      <c r="I49" s="565" t="str">
        <f ca="1">тарифікація!C39</f>
        <v xml:space="preserve">Інженер з охорони праці </v>
      </c>
      <c r="J49" s="556">
        <f ca="1">тарифікація!S39+тарифікація!T39</f>
        <v>0.5</v>
      </c>
      <c r="K49" s="562">
        <f ca="1">тарифікація!R39</f>
        <v>5699</v>
      </c>
      <c r="L49" s="574"/>
      <c r="M49" s="574"/>
      <c r="N49" s="562">
        <f ca="1">тарифікація!AA39</f>
        <v>500.5</v>
      </c>
      <c r="O49" s="562">
        <f ca="1">тарифікація!AB39</f>
        <v>3350</v>
      </c>
      <c r="P49" s="563">
        <f t="shared" si="10"/>
        <v>40200</v>
      </c>
      <c r="Q49" s="566">
        <f ca="1">тарифікація!AD39</f>
        <v>3350</v>
      </c>
      <c r="R49" s="567">
        <f t="shared" si="11"/>
        <v>40200</v>
      </c>
      <c r="S49" s="566">
        <f t="shared" si="12"/>
        <v>0</v>
      </c>
      <c r="T49" s="567">
        <f t="shared" si="13"/>
        <v>0</v>
      </c>
      <c r="U49" s="567"/>
      <c r="V49" s="567"/>
      <c r="W49" s="567"/>
      <c r="X49" s="551" t="s">
        <v>821</v>
      </c>
      <c r="Y49" s="551" t="s">
        <v>647</v>
      </c>
    </row>
    <row r="50" spans="2:25" s="785" customFormat="1" ht="24.95" customHeight="1">
      <c r="B50" s="689"/>
      <c r="C50" s="691"/>
      <c r="D50" s="692"/>
      <c r="E50" s="693"/>
      <c r="F50" s="693"/>
      <c r="G50" s="783"/>
      <c r="H50" s="667"/>
      <c r="I50" s="784"/>
      <c r="J50" s="558">
        <f ca="1">SUM(J44:J49)</f>
        <v>5</v>
      </c>
      <c r="K50" s="569">
        <f ca="1">SUM(K44:K49)</f>
        <v>29594</v>
      </c>
      <c r="L50" s="569">
        <f t="shared" ref="L50:T50" si="14">SUM(L44:L49)</f>
        <v>0</v>
      </c>
      <c r="M50" s="569">
        <f t="shared" si="14"/>
        <v>0</v>
      </c>
      <c r="N50" s="569">
        <f t="shared" si="14"/>
        <v>9388</v>
      </c>
      <c r="O50" s="569">
        <f t="shared" si="14"/>
        <v>33500</v>
      </c>
      <c r="P50" s="569">
        <f t="shared" si="14"/>
        <v>402000</v>
      </c>
      <c r="Q50" s="569">
        <f t="shared" si="14"/>
        <v>33500</v>
      </c>
      <c r="R50" s="569">
        <f t="shared" si="14"/>
        <v>402000</v>
      </c>
      <c r="S50" s="569">
        <f t="shared" si="14"/>
        <v>0</v>
      </c>
      <c r="T50" s="569">
        <f t="shared" si="14"/>
        <v>0</v>
      </c>
      <c r="U50" s="569"/>
      <c r="V50" s="569"/>
      <c r="W50" s="569"/>
      <c r="X50" s="574"/>
      <c r="Y50" s="574"/>
    </row>
    <row r="51" spans="2:25" s="785" customFormat="1" ht="24.95" customHeight="1">
      <c r="B51" s="689"/>
      <c r="C51" s="691"/>
      <c r="D51" s="692"/>
      <c r="E51" s="693"/>
      <c r="F51" s="693"/>
      <c r="G51" s="783"/>
      <c r="H51" s="667"/>
      <c r="I51" s="724" t="s">
        <v>814</v>
      </c>
      <c r="J51" s="558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74"/>
      <c r="Y51" s="574"/>
    </row>
    <row r="52" spans="2:25" s="680" customFormat="1" ht="24.95" customHeight="1">
      <c r="B52" s="676">
        <v>1</v>
      </c>
      <c r="C52" s="677" t="s">
        <v>743</v>
      </c>
      <c r="D52" s="678">
        <v>1239</v>
      </c>
      <c r="E52" s="679">
        <v>22124</v>
      </c>
      <c r="F52" s="679">
        <v>1</v>
      </c>
      <c r="G52" s="688" t="s">
        <v>1490</v>
      </c>
      <c r="H52" s="557"/>
      <c r="I52" s="565" t="str">
        <f ca="1">тарифікація!C42</f>
        <v>Завідувач господарства</v>
      </c>
      <c r="J52" s="556">
        <f ca="1">тарифікація!S42+тарифікація!T42</f>
        <v>1</v>
      </c>
      <c r="K52" s="562">
        <f ca="1">тарифікація!G42</f>
        <v>4455</v>
      </c>
      <c r="L52" s="574"/>
      <c r="M52" s="574"/>
      <c r="N52" s="562">
        <f ca="1">тарифікація!AA42</f>
        <v>2245</v>
      </c>
      <c r="O52" s="562">
        <f ca="1">тарифікація!AB42</f>
        <v>6700</v>
      </c>
      <c r="P52" s="563">
        <f ca="1">O52*12</f>
        <v>80400</v>
      </c>
      <c r="Q52" s="566">
        <f ca="1">тарифікація!AD42</f>
        <v>6700</v>
      </c>
      <c r="R52" s="567">
        <f>Q52*12</f>
        <v>80400</v>
      </c>
      <c r="S52" s="566">
        <f>Q52-O52</f>
        <v>0</v>
      </c>
      <c r="T52" s="567">
        <f>R52-P52</f>
        <v>0</v>
      </c>
      <c r="U52" s="567"/>
      <c r="V52" s="567"/>
      <c r="W52" s="567"/>
      <c r="X52" s="551" t="s">
        <v>819</v>
      </c>
      <c r="Y52" s="551" t="s">
        <v>645</v>
      </c>
    </row>
    <row r="53" spans="2:25" s="680" customFormat="1" ht="24.95" customHeight="1">
      <c r="B53" s="676"/>
      <c r="C53" s="677"/>
      <c r="D53" s="678"/>
      <c r="E53" s="679"/>
      <c r="F53" s="679"/>
      <c r="G53" s="688"/>
      <c r="H53" s="557"/>
      <c r="I53" s="787" t="str">
        <f ca="1">тарифікація!C43</f>
        <v>Склад</v>
      </c>
      <c r="J53" s="556"/>
      <c r="K53" s="562"/>
      <c r="L53" s="574"/>
      <c r="M53" s="574"/>
      <c r="N53" s="562"/>
      <c r="O53" s="562"/>
      <c r="P53" s="563"/>
      <c r="Q53" s="566"/>
      <c r="R53" s="567"/>
      <c r="S53" s="566"/>
      <c r="T53" s="567"/>
      <c r="U53" s="567"/>
      <c r="V53" s="567"/>
      <c r="W53" s="567"/>
      <c r="X53" s="551"/>
      <c r="Y53" s="551"/>
    </row>
    <row r="54" spans="2:25" s="680" customFormat="1" ht="24.95" customHeight="1">
      <c r="B54" s="676">
        <v>1</v>
      </c>
      <c r="C54" s="677" t="s">
        <v>744</v>
      </c>
      <c r="D54" s="678" t="s">
        <v>648</v>
      </c>
      <c r="E54" s="679">
        <v>22075</v>
      </c>
      <c r="F54" s="679" t="s">
        <v>701</v>
      </c>
      <c r="G54" s="688" t="s">
        <v>1492</v>
      </c>
      <c r="H54" s="557"/>
      <c r="I54" s="565" t="str">
        <f ca="1">тарифікація!C44</f>
        <v>Завідувач складу</v>
      </c>
      <c r="J54" s="556">
        <f ca="1">тарифікація!S44+тарифікація!S45</f>
        <v>2</v>
      </c>
      <c r="K54" s="562">
        <f ca="1">тарифікація!R44+тарифікація!R45</f>
        <v>8390</v>
      </c>
      <c r="L54" s="574"/>
      <c r="M54" s="574"/>
      <c r="N54" s="562">
        <f ca="1">тарифікація!AA44+тарифікація!AA45</f>
        <v>5010</v>
      </c>
      <c r="O54" s="562">
        <f ca="1">тарифікація!AB44+тарифікація!AB45</f>
        <v>13400</v>
      </c>
      <c r="P54" s="563">
        <f ca="1">O54*12</f>
        <v>160800</v>
      </c>
      <c r="Q54" s="566">
        <f ca="1">тарифікація!AD44+тарифікація!AD45</f>
        <v>13400</v>
      </c>
      <c r="R54" s="567">
        <f>Q54*12</f>
        <v>160800</v>
      </c>
      <c r="S54" s="566">
        <f>Q54-O54</f>
        <v>0</v>
      </c>
      <c r="T54" s="567">
        <f>R54-P54</f>
        <v>0</v>
      </c>
      <c r="U54" s="567"/>
      <c r="V54" s="567"/>
      <c r="W54" s="567"/>
      <c r="X54" s="551" t="s">
        <v>819</v>
      </c>
      <c r="Y54" s="551" t="s">
        <v>645</v>
      </c>
    </row>
    <row r="55" spans="2:25" s="680" customFormat="1" ht="24.95" customHeight="1">
      <c r="B55" s="676"/>
      <c r="C55" s="677"/>
      <c r="D55" s="678"/>
      <c r="E55" s="679"/>
      <c r="F55" s="679"/>
      <c r="G55" s="688"/>
      <c r="H55" s="557"/>
      <c r="I55" s="787" t="str">
        <f ca="1">тарифікація!C46</f>
        <v>Гараж</v>
      </c>
      <c r="J55" s="556"/>
      <c r="K55" s="562"/>
      <c r="L55" s="574"/>
      <c r="M55" s="574"/>
      <c r="N55" s="562"/>
      <c r="O55" s="562"/>
      <c r="P55" s="563"/>
      <c r="Q55" s="566"/>
      <c r="R55" s="567"/>
      <c r="S55" s="566"/>
      <c r="T55" s="567"/>
      <c r="U55" s="567"/>
      <c r="V55" s="567"/>
      <c r="W55" s="567"/>
      <c r="X55" s="551"/>
      <c r="Y55" s="551"/>
    </row>
    <row r="56" spans="2:25" s="680" customFormat="1" ht="24.95" customHeight="1">
      <c r="B56" s="676">
        <v>8</v>
      </c>
      <c r="C56" s="677" t="s">
        <v>748</v>
      </c>
      <c r="D56" s="678">
        <v>8322</v>
      </c>
      <c r="E56" s="679"/>
      <c r="F56" s="679"/>
      <c r="G56" s="688" t="s">
        <v>1510</v>
      </c>
      <c r="H56" s="557"/>
      <c r="I56" s="564" t="str">
        <f ca="1">тарифікація!C47</f>
        <v>Водій автотранспортних засобів</v>
      </c>
      <c r="J56" s="556">
        <f ca="1">тарифікація!S47+тарифікація!T47+тарифікація!S48+тарифікація!T48+тарифікація!S49+тарифікація!T49+тарифікація!S50+тарифікація!T50+тарифікація!S51+тарифікація!T51+тарифікація!S52+тарифікація!T52</f>
        <v>4.5</v>
      </c>
      <c r="K56" s="562">
        <f ca="1">тарифікація!R47+тарифікація!R48+тарифікація!R49+тарифікація!R50+тарифікація!R51+тарифікація!R52</f>
        <v>25204.799999999999</v>
      </c>
      <c r="L56" s="562">
        <f ca="1">тарифікація!I47+тарифікація!I48+тарифікація!I49+тарифікація!I50+тарифікація!I51+тарифікація!I52</f>
        <v>4200.8</v>
      </c>
      <c r="M56" s="562"/>
      <c r="N56" s="562">
        <f ca="1">тарифікація!AA47+тарифікація!AA48+тарифікація!AA49+тарифікація!AA50+тарифікація!AA51+тарифікація!AA52</f>
        <v>11246.4</v>
      </c>
      <c r="O56" s="562">
        <f ca="1">тарифікація!AB47+тарифікація!AB48+тарифікація!AB49+тарифікація!AB50+тарифікація!AB51+тарифікація!AB52</f>
        <v>30150</v>
      </c>
      <c r="P56" s="563">
        <f ca="1">O56*12</f>
        <v>361800</v>
      </c>
      <c r="Q56" s="566">
        <f ca="1">тарифікація!AD47+тарифікація!AD48+тарифікація!AD49+тарифікація!AD50+тарифікація!AD51+тарифікація!AD52</f>
        <v>30150</v>
      </c>
      <c r="R56" s="567">
        <f>Q56*12</f>
        <v>361800</v>
      </c>
      <c r="S56" s="566">
        <f>Q56-O56</f>
        <v>0</v>
      </c>
      <c r="T56" s="567">
        <f>R56-P56</f>
        <v>0</v>
      </c>
      <c r="U56" s="567"/>
      <c r="V56" s="567"/>
      <c r="W56" s="567"/>
      <c r="X56" s="551" t="s">
        <v>825</v>
      </c>
      <c r="Y56" s="551" t="s">
        <v>647</v>
      </c>
    </row>
    <row r="57" spans="2:25" s="680" customFormat="1" ht="24.95" customHeight="1">
      <c r="B57" s="676"/>
      <c r="C57" s="677"/>
      <c r="D57" s="678"/>
      <c r="E57" s="679"/>
      <c r="F57" s="679"/>
      <c r="G57" s="688"/>
      <c r="H57" s="557"/>
      <c r="I57" s="787" t="str">
        <f ca="1">тарифікація!C53</f>
        <v>Харчоблок</v>
      </c>
      <c r="J57" s="556"/>
      <c r="K57" s="562"/>
      <c r="L57" s="574"/>
      <c r="M57" s="574"/>
      <c r="N57" s="562"/>
      <c r="O57" s="562"/>
      <c r="P57" s="563"/>
      <c r="Q57" s="566"/>
      <c r="R57" s="567"/>
      <c r="S57" s="566"/>
      <c r="T57" s="567"/>
      <c r="U57" s="567"/>
      <c r="V57" s="567"/>
      <c r="W57" s="567"/>
      <c r="X57" s="551"/>
      <c r="Y57" s="551"/>
    </row>
    <row r="58" spans="2:25" s="680" customFormat="1" ht="24.95" customHeight="1">
      <c r="B58" s="676">
        <v>5</v>
      </c>
      <c r="C58" s="677" t="s">
        <v>746</v>
      </c>
      <c r="D58" s="678">
        <v>5122</v>
      </c>
      <c r="E58" s="679">
        <v>16675</v>
      </c>
      <c r="F58" s="679">
        <v>65</v>
      </c>
      <c r="G58" s="688" t="s">
        <v>1518</v>
      </c>
      <c r="H58" s="557"/>
      <c r="I58" s="564" t="str">
        <f ca="1">тарифікація!C54</f>
        <v>Кухар</v>
      </c>
      <c r="J58" s="556">
        <f ca="1">тарифікація!S54+тарифікація!S55</f>
        <v>2</v>
      </c>
      <c r="K58" s="562">
        <f ca="1">тарифікація!R54+тарифікація!R55</f>
        <v>7868</v>
      </c>
      <c r="L58" s="562"/>
      <c r="M58" s="562"/>
      <c r="N58" s="562">
        <f ca="1">тарифікація!AA54+тарифікація!AA55</f>
        <v>5532</v>
      </c>
      <c r="O58" s="562">
        <f ca="1">тарифікація!AB54+тарифікація!AB55</f>
        <v>13400</v>
      </c>
      <c r="P58" s="563">
        <f ca="1">O58*12</f>
        <v>160800</v>
      </c>
      <c r="Q58" s="566">
        <f ca="1">тарифікація!AD54+тарифікація!AD55</f>
        <v>13400</v>
      </c>
      <c r="R58" s="567">
        <f>Q58*12</f>
        <v>160800</v>
      </c>
      <c r="S58" s="566">
        <f>Q58-O58</f>
        <v>0</v>
      </c>
      <c r="T58" s="567">
        <f>R58-P58</f>
        <v>0</v>
      </c>
      <c r="U58" s="567"/>
      <c r="V58" s="567"/>
      <c r="W58" s="567"/>
      <c r="X58" s="551" t="s">
        <v>826</v>
      </c>
      <c r="Y58" s="551" t="s">
        <v>647</v>
      </c>
    </row>
    <row r="59" spans="2:25" s="680" customFormat="1" ht="24.95" customHeight="1">
      <c r="B59" s="676">
        <v>9</v>
      </c>
      <c r="C59" s="677" t="s">
        <v>749</v>
      </c>
      <c r="D59" s="678">
        <v>9132</v>
      </c>
      <c r="E59" s="679">
        <v>13249</v>
      </c>
      <c r="F59" s="679">
        <v>65</v>
      </c>
      <c r="G59" s="688" t="s">
        <v>1522</v>
      </c>
      <c r="H59" s="557"/>
      <c r="I59" s="564" t="str">
        <f ca="1">тарифікація!C56</f>
        <v>Кухонний робітник</v>
      </c>
      <c r="J59" s="556">
        <f ca="1">тарифікація!S56+тарифікація!S57</f>
        <v>2</v>
      </c>
      <c r="K59" s="576">
        <f ca="1">тарифікація!R56+тарифікація!R57</f>
        <v>6306</v>
      </c>
      <c r="L59" s="562"/>
      <c r="M59" s="562"/>
      <c r="N59" s="562">
        <f ca="1">тарифікація!AA56+тарифікація!AA57</f>
        <v>7094</v>
      </c>
      <c r="O59" s="562">
        <f ca="1">тарифікація!AB56+тарифікація!AB57</f>
        <v>13400</v>
      </c>
      <c r="P59" s="563">
        <f ca="1">O59*12</f>
        <v>160800</v>
      </c>
      <c r="Q59" s="566">
        <f ca="1">тарифікація!AD56+тарифікація!AD57</f>
        <v>13400</v>
      </c>
      <c r="R59" s="567">
        <f>Q59*12</f>
        <v>160800</v>
      </c>
      <c r="S59" s="566">
        <f>Q59-O59</f>
        <v>0</v>
      </c>
      <c r="T59" s="567">
        <f>R59-P59</f>
        <v>0</v>
      </c>
      <c r="U59" s="567"/>
      <c r="V59" s="567"/>
      <c r="W59" s="567"/>
      <c r="X59" s="551" t="s">
        <v>827</v>
      </c>
      <c r="Y59" s="551" t="s">
        <v>647</v>
      </c>
    </row>
    <row r="60" spans="2:25" s="680" customFormat="1" ht="24.95" customHeight="1">
      <c r="B60" s="676"/>
      <c r="C60" s="677"/>
      <c r="D60" s="678"/>
      <c r="E60" s="679"/>
      <c r="F60" s="679"/>
      <c r="G60" s="688"/>
      <c r="H60" s="557"/>
      <c r="I60" s="787" t="str">
        <f ca="1">тарифікація!C58</f>
        <v>Інженерно-технічна служба</v>
      </c>
      <c r="J60" s="556"/>
      <c r="K60" s="562"/>
      <c r="L60" s="574"/>
      <c r="M60" s="574"/>
      <c r="N60" s="562"/>
      <c r="O60" s="562"/>
      <c r="P60" s="563"/>
      <c r="Q60" s="566"/>
      <c r="R60" s="567"/>
      <c r="S60" s="566"/>
      <c r="T60" s="567"/>
      <c r="U60" s="567"/>
      <c r="V60" s="567"/>
      <c r="W60" s="567"/>
      <c r="X60" s="551"/>
      <c r="Y60" s="551"/>
    </row>
    <row r="61" spans="2:25" s="680" customFormat="1" ht="24.95" customHeight="1">
      <c r="B61" s="676">
        <v>2</v>
      </c>
      <c r="C61" s="677" t="s">
        <v>742</v>
      </c>
      <c r="D61" s="678" t="s">
        <v>650</v>
      </c>
      <c r="E61" s="679">
        <v>22408</v>
      </c>
      <c r="F61" s="679">
        <v>1</v>
      </c>
      <c r="G61" s="688" t="s">
        <v>704</v>
      </c>
      <c r="H61" s="557"/>
      <c r="I61" s="575" t="str">
        <f ca="1">тарифікація!C59</f>
        <v>Інженер з ремонту (медичної техніки)</v>
      </c>
      <c r="J61" s="556">
        <f ca="1">тарифікація!S59</f>
        <v>1</v>
      </c>
      <c r="K61" s="562">
        <f ca="1">тарифікація!R59</f>
        <v>5005</v>
      </c>
      <c r="L61" s="574"/>
      <c r="M61" s="574"/>
      <c r="N61" s="562">
        <f ca="1">тарифікація!AA59</f>
        <v>1695</v>
      </c>
      <c r="O61" s="562">
        <f ca="1">тарифікація!AB59</f>
        <v>6700</v>
      </c>
      <c r="P61" s="563">
        <f ca="1">O61*12</f>
        <v>80400</v>
      </c>
      <c r="Q61" s="566">
        <f ca="1">тарифікація!AD59</f>
        <v>6700</v>
      </c>
      <c r="R61" s="567">
        <f>Q61*12</f>
        <v>80400</v>
      </c>
      <c r="S61" s="566">
        <f t="shared" ref="S61:T66" si="15">Q61-O61</f>
        <v>0</v>
      </c>
      <c r="T61" s="567">
        <f t="shared" si="15"/>
        <v>0</v>
      </c>
      <c r="U61" s="567"/>
      <c r="V61" s="567"/>
      <c r="W61" s="567"/>
      <c r="X61" s="551" t="s">
        <v>821</v>
      </c>
      <c r="Y61" s="551" t="s">
        <v>647</v>
      </c>
    </row>
    <row r="62" spans="2:25" s="680" customFormat="1" ht="24.95" customHeight="1">
      <c r="B62" s="676">
        <v>7</v>
      </c>
      <c r="C62" s="677" t="s">
        <v>747</v>
      </c>
      <c r="D62" s="678">
        <v>7129</v>
      </c>
      <c r="E62" s="679">
        <v>17544</v>
      </c>
      <c r="F62" s="679">
        <v>87</v>
      </c>
      <c r="G62" s="688" t="s">
        <v>1536</v>
      </c>
      <c r="H62" s="557"/>
      <c r="I62" s="575" t="str">
        <f ca="1">тарифікація!C60</f>
        <v>Робітник з комплексного обслуговування й ремонту будинків</v>
      </c>
      <c r="J62" s="556">
        <f ca="1">тарифікація!S60</f>
        <v>1</v>
      </c>
      <c r="K62" s="562">
        <f ca="1">тарифікація!R60</f>
        <v>3674</v>
      </c>
      <c r="L62" s="562"/>
      <c r="M62" s="562"/>
      <c r="N62" s="562">
        <f ca="1">тарифікація!AA60</f>
        <v>3026</v>
      </c>
      <c r="O62" s="562">
        <f ca="1">тарифікація!AB60</f>
        <v>6700</v>
      </c>
      <c r="P62" s="563">
        <f ca="1">O62*12</f>
        <v>80400</v>
      </c>
      <c r="Q62" s="566">
        <f ca="1">тарифікація!AD60</f>
        <v>6700</v>
      </c>
      <c r="R62" s="567">
        <f>Q62*12</f>
        <v>80400</v>
      </c>
      <c r="S62" s="566">
        <f t="shared" si="15"/>
        <v>0</v>
      </c>
      <c r="T62" s="567">
        <f t="shared" si="15"/>
        <v>0</v>
      </c>
      <c r="U62" s="567"/>
      <c r="V62" s="567"/>
      <c r="W62" s="567"/>
      <c r="X62" s="551" t="s">
        <v>828</v>
      </c>
      <c r="Y62" s="551" t="s">
        <v>647</v>
      </c>
    </row>
    <row r="63" spans="2:25" s="680" customFormat="1" ht="24.95" customHeight="1">
      <c r="B63" s="676">
        <v>8</v>
      </c>
      <c r="C63" s="677" t="s">
        <v>748</v>
      </c>
      <c r="D63" s="678">
        <v>8333</v>
      </c>
      <c r="E63" s="679">
        <v>13413</v>
      </c>
      <c r="F63" s="679">
        <v>87</v>
      </c>
      <c r="G63" s="688" t="s">
        <v>1525</v>
      </c>
      <c r="H63" s="557"/>
      <c r="I63" s="575" t="str">
        <f ca="1">тарифікація!C61</f>
        <v>Ліфтер</v>
      </c>
      <c r="J63" s="556">
        <f ca="1">тарифікація!S61</f>
        <v>1</v>
      </c>
      <c r="K63" s="562">
        <f ca="1">тарифікація!R61</f>
        <v>2893</v>
      </c>
      <c r="L63" s="562"/>
      <c r="M63" s="562"/>
      <c r="N63" s="562">
        <f ca="1">тарифікація!AA61</f>
        <v>3807</v>
      </c>
      <c r="O63" s="562">
        <f ca="1">тарифікація!AB61</f>
        <v>6700</v>
      </c>
      <c r="P63" s="563">
        <f ca="1">O63*12</f>
        <v>80400</v>
      </c>
      <c r="Q63" s="566">
        <f ca="1">тарифікація!AD61</f>
        <v>6700</v>
      </c>
      <c r="R63" s="567">
        <f>Q63*12</f>
        <v>80400</v>
      </c>
      <c r="S63" s="566">
        <f t="shared" si="15"/>
        <v>0</v>
      </c>
      <c r="T63" s="567">
        <f t="shared" si="15"/>
        <v>0</v>
      </c>
      <c r="U63" s="567"/>
      <c r="V63" s="567"/>
      <c r="W63" s="567"/>
      <c r="X63" s="551" t="s">
        <v>829</v>
      </c>
      <c r="Y63" s="551" t="s">
        <v>647</v>
      </c>
    </row>
    <row r="64" spans="2:25" s="680" customFormat="1" ht="24.95" customHeight="1">
      <c r="B64" s="676">
        <v>8</v>
      </c>
      <c r="C64" s="677" t="s">
        <v>748</v>
      </c>
      <c r="D64" s="678">
        <v>8163</v>
      </c>
      <c r="E64" s="679">
        <v>13910</v>
      </c>
      <c r="F64" s="679">
        <v>1</v>
      </c>
      <c r="G64" s="688" t="s">
        <v>1527</v>
      </c>
      <c r="H64" s="557"/>
      <c r="I64" s="575" t="str">
        <f ca="1">тарифікація!C62</f>
        <v>Машиніст насосних установок</v>
      </c>
      <c r="J64" s="556">
        <f ca="1">тарифікація!S62</f>
        <v>0.5</v>
      </c>
      <c r="K64" s="562">
        <f ca="1">тарифікація!R62</f>
        <v>3934</v>
      </c>
      <c r="L64" s="562"/>
      <c r="M64" s="562"/>
      <c r="N64" s="562">
        <f ca="1">тарифікація!AA62</f>
        <v>1383</v>
      </c>
      <c r="O64" s="562">
        <f ca="1">тарифікація!AB62</f>
        <v>3350</v>
      </c>
      <c r="P64" s="563">
        <f ca="1">O64*12</f>
        <v>40200</v>
      </c>
      <c r="Q64" s="566">
        <f ca="1">тарифікація!AD62</f>
        <v>3350</v>
      </c>
      <c r="R64" s="567">
        <f>Q64*12</f>
        <v>40200</v>
      </c>
      <c r="S64" s="566">
        <f t="shared" si="15"/>
        <v>0</v>
      </c>
      <c r="T64" s="567">
        <f t="shared" si="15"/>
        <v>0</v>
      </c>
      <c r="U64" s="567"/>
      <c r="V64" s="567"/>
      <c r="W64" s="567"/>
      <c r="X64" s="551" t="s">
        <v>829</v>
      </c>
      <c r="Y64" s="551" t="s">
        <v>647</v>
      </c>
    </row>
    <row r="65" spans="2:25" s="680" customFormat="1" ht="24.95" customHeight="1">
      <c r="B65" s="676">
        <v>7</v>
      </c>
      <c r="C65" s="677" t="s">
        <v>747</v>
      </c>
      <c r="D65" s="678">
        <v>7241</v>
      </c>
      <c r="E65" s="679">
        <v>19861</v>
      </c>
      <c r="F65" s="679">
        <v>1</v>
      </c>
      <c r="G65" s="688" t="s">
        <v>1516</v>
      </c>
      <c r="H65" s="557"/>
      <c r="I65" s="575" t="str">
        <f ca="1">тарифікація!C63</f>
        <v>Електромонтер з ремонту та обслуговування електроустаткування</v>
      </c>
      <c r="J65" s="556">
        <f ca="1">тарифікація!S63+тарифікація!T63+тарифікація!S64+тарифікація!T64</f>
        <v>1.5</v>
      </c>
      <c r="K65" s="562">
        <f ca="1">тарифікація!R63+тарифікація!R64</f>
        <v>7868</v>
      </c>
      <c r="L65" s="562"/>
      <c r="M65" s="562"/>
      <c r="N65" s="562">
        <f ca="1">тарифікація!AA63+тарифікація!AA64</f>
        <v>4149</v>
      </c>
      <c r="O65" s="562">
        <f ca="1">тарифікація!AB63+тарифікація!AB64</f>
        <v>10050</v>
      </c>
      <c r="P65" s="563">
        <f t="shared" ref="P65:P70" si="16">O65*12</f>
        <v>120600</v>
      </c>
      <c r="Q65" s="566">
        <f ca="1">тарифікація!AD63+тарифікація!AD64</f>
        <v>10050</v>
      </c>
      <c r="R65" s="567">
        <f t="shared" ref="R65:R70" si="17">Q65*12</f>
        <v>120600</v>
      </c>
      <c r="S65" s="566">
        <f t="shared" si="15"/>
        <v>0</v>
      </c>
      <c r="T65" s="567">
        <f t="shared" si="15"/>
        <v>0</v>
      </c>
      <c r="U65" s="567"/>
      <c r="V65" s="567"/>
      <c r="W65" s="567"/>
      <c r="X65" s="551" t="s">
        <v>828</v>
      </c>
      <c r="Y65" s="551" t="s">
        <v>647</v>
      </c>
    </row>
    <row r="66" spans="2:25" s="680" customFormat="1" ht="24.95" customHeight="1">
      <c r="B66" s="676">
        <v>7</v>
      </c>
      <c r="C66" s="677" t="s">
        <v>747</v>
      </c>
      <c r="D66" s="678">
        <v>7136</v>
      </c>
      <c r="E66" s="679">
        <v>14621</v>
      </c>
      <c r="F66" s="679">
        <v>64</v>
      </c>
      <c r="G66" s="688" t="s">
        <v>1530</v>
      </c>
      <c r="H66" s="557"/>
      <c r="I66" s="575" t="str">
        <f ca="1">тарифікація!C65</f>
        <v>Монтажник санітарно-технічних систем і устаткування</v>
      </c>
      <c r="J66" s="556">
        <f ca="1">тарифікація!S65</f>
        <v>1</v>
      </c>
      <c r="K66" s="562">
        <f ca="1">тарифікація!R65</f>
        <v>3414</v>
      </c>
      <c r="L66" s="562"/>
      <c r="M66" s="562"/>
      <c r="N66" s="562">
        <f ca="1">тарифікація!AA65</f>
        <v>3286</v>
      </c>
      <c r="O66" s="562">
        <f ca="1">тарифікація!AB65</f>
        <v>6700</v>
      </c>
      <c r="P66" s="563">
        <f ca="1">O66*12</f>
        <v>80400</v>
      </c>
      <c r="Q66" s="566">
        <f ca="1">тарифікація!AD65</f>
        <v>6700</v>
      </c>
      <c r="R66" s="567">
        <f>Q66*12</f>
        <v>80400</v>
      </c>
      <c r="S66" s="566">
        <f t="shared" si="15"/>
        <v>0</v>
      </c>
      <c r="T66" s="567">
        <f t="shared" si="15"/>
        <v>0</v>
      </c>
      <c r="U66" s="567"/>
      <c r="V66" s="567"/>
      <c r="W66" s="567"/>
      <c r="X66" s="551" t="s">
        <v>828</v>
      </c>
      <c r="Y66" s="551" t="s">
        <v>647</v>
      </c>
    </row>
    <row r="67" spans="2:25" s="680" customFormat="1" ht="24.95" customHeight="1">
      <c r="B67" s="676"/>
      <c r="C67" s="677"/>
      <c r="D67" s="678"/>
      <c r="E67" s="679"/>
      <c r="F67" s="679"/>
      <c r="G67" s="688"/>
      <c r="H67" s="557"/>
      <c r="I67" s="613" t="str">
        <f ca="1">тарифікація!C66</f>
        <v>Господарська служба</v>
      </c>
      <c r="J67" s="556"/>
      <c r="K67" s="562"/>
      <c r="L67" s="562"/>
      <c r="M67" s="562"/>
      <c r="N67" s="562"/>
      <c r="O67" s="562"/>
      <c r="P67" s="563"/>
      <c r="Q67" s="566"/>
      <c r="R67" s="567"/>
      <c r="S67" s="566"/>
      <c r="T67" s="567"/>
      <c r="U67" s="567"/>
      <c r="V67" s="567"/>
      <c r="W67" s="567"/>
      <c r="X67" s="551"/>
      <c r="Y67" s="551"/>
    </row>
    <row r="68" spans="2:25" s="680" customFormat="1" ht="24.95" customHeight="1">
      <c r="B68" s="676">
        <v>9</v>
      </c>
      <c r="C68" s="677" t="s">
        <v>749</v>
      </c>
      <c r="D68" s="678">
        <v>9132</v>
      </c>
      <c r="E68" s="679">
        <v>19260</v>
      </c>
      <c r="F68" s="679">
        <v>1</v>
      </c>
      <c r="G68" s="688" t="s">
        <v>1531</v>
      </c>
      <c r="H68" s="557"/>
      <c r="I68" s="564" t="str">
        <f ca="1">тарифікація!C70</f>
        <v>Прибиральник службових приміщень</v>
      </c>
      <c r="J68" s="556">
        <f ca="1">тарифікація!S67+тарифікація!S68+тарифікація!S69+тарифікація!S70</f>
        <v>4</v>
      </c>
      <c r="K68" s="562">
        <f ca="1">тарифікація!R67+тарифікація!R68+тарифікація!R69+тарифікація!R70</f>
        <v>11572</v>
      </c>
      <c r="L68" s="562"/>
      <c r="M68" s="562">
        <f ca="1">тарифікація!W67+тарифікація!W68+тарифікація!W69+тарифікація!W70</f>
        <v>1157.2</v>
      </c>
      <c r="N68" s="562">
        <f ca="1">тарифікація!AA67+тарифікація!AA68+тарифікація!AA69+тарифікація!AA70</f>
        <v>15228</v>
      </c>
      <c r="O68" s="562">
        <f ca="1">тарифікація!AB67+тарифікація!AB68+тарифікація!AB69+тарифікація!AB70</f>
        <v>27957.200000000001</v>
      </c>
      <c r="P68" s="563">
        <f t="shared" si="16"/>
        <v>335486.40000000002</v>
      </c>
      <c r="Q68" s="566">
        <f ca="1">тарифікація!AD67+тарифікація!AD68+тарифікація!AD69+тарифікація!AD70</f>
        <v>27957.200000000001</v>
      </c>
      <c r="R68" s="567">
        <f t="shared" si="17"/>
        <v>335486.40000000002</v>
      </c>
      <c r="S68" s="566">
        <f t="shared" ref="S68:T70" si="18">Q68-O68</f>
        <v>0</v>
      </c>
      <c r="T68" s="567">
        <f t="shared" si="18"/>
        <v>0</v>
      </c>
      <c r="U68" s="567"/>
      <c r="V68" s="567"/>
      <c r="W68" s="567"/>
      <c r="X68" s="551" t="s">
        <v>827</v>
      </c>
      <c r="Y68" s="551" t="s">
        <v>647</v>
      </c>
    </row>
    <row r="69" spans="2:25" s="680" customFormat="1" ht="24.95" customHeight="1">
      <c r="B69" s="676">
        <v>9</v>
      </c>
      <c r="C69" s="677" t="s">
        <v>749</v>
      </c>
      <c r="D69" s="678">
        <v>9162</v>
      </c>
      <c r="E69" s="679">
        <v>19262</v>
      </c>
      <c r="F69" s="679" t="s">
        <v>714</v>
      </c>
      <c r="G69" s="688" t="s">
        <v>1534</v>
      </c>
      <c r="H69" s="557"/>
      <c r="I69" s="564" t="str">
        <f ca="1">тарифікація!C71</f>
        <v>Прибиральник територій</v>
      </c>
      <c r="J69" s="556">
        <f ca="1">тарифікація!S71</f>
        <v>1</v>
      </c>
      <c r="K69" s="562">
        <f ca="1">тарифікація!R71</f>
        <v>2893</v>
      </c>
      <c r="L69" s="562"/>
      <c r="M69" s="562"/>
      <c r="N69" s="562">
        <f ca="1">тарифікація!AA71</f>
        <v>3807</v>
      </c>
      <c r="O69" s="562">
        <f ca="1">тарифікація!AB71</f>
        <v>6700</v>
      </c>
      <c r="P69" s="563">
        <f t="shared" si="16"/>
        <v>80400</v>
      </c>
      <c r="Q69" s="566">
        <f ca="1">тарифікація!AD71</f>
        <v>6700</v>
      </c>
      <c r="R69" s="567">
        <f t="shared" si="17"/>
        <v>80400</v>
      </c>
      <c r="S69" s="566">
        <f t="shared" si="18"/>
        <v>0</v>
      </c>
      <c r="T69" s="567">
        <f t="shared" si="18"/>
        <v>0</v>
      </c>
      <c r="U69" s="567"/>
      <c r="V69" s="567"/>
      <c r="W69" s="567"/>
      <c r="X69" s="551" t="s">
        <v>827</v>
      </c>
      <c r="Y69" s="551" t="s">
        <v>647</v>
      </c>
    </row>
    <row r="70" spans="2:25" s="694" customFormat="1" ht="24.95" customHeight="1">
      <c r="B70" s="676">
        <v>9</v>
      </c>
      <c r="C70" s="677" t="s">
        <v>749</v>
      </c>
      <c r="D70" s="678">
        <v>9161</v>
      </c>
      <c r="E70" s="679">
        <v>17543</v>
      </c>
      <c r="F70" s="679">
        <v>1</v>
      </c>
      <c r="G70" s="688" t="s">
        <v>605</v>
      </c>
      <c r="H70" s="557"/>
      <c r="I70" s="564" t="str">
        <f ca="1">тарифікація!C72</f>
        <v>Робітник з благоустрою</v>
      </c>
      <c r="J70" s="556">
        <f ca="1">тарифікація!S72</f>
        <v>1</v>
      </c>
      <c r="K70" s="562">
        <f ca="1">тарифікація!R72</f>
        <v>2893</v>
      </c>
      <c r="L70" s="562"/>
      <c r="M70" s="562"/>
      <c r="N70" s="562">
        <f ca="1">тарифікація!AA72</f>
        <v>3807</v>
      </c>
      <c r="O70" s="562">
        <f ca="1">тарифікація!AB72</f>
        <v>6700</v>
      </c>
      <c r="P70" s="563">
        <f t="shared" si="16"/>
        <v>80400</v>
      </c>
      <c r="Q70" s="566">
        <f ca="1">тарифікація!AD72</f>
        <v>6700</v>
      </c>
      <c r="R70" s="567">
        <f t="shared" si="17"/>
        <v>80400</v>
      </c>
      <c r="S70" s="566">
        <f t="shared" si="18"/>
        <v>0</v>
      </c>
      <c r="T70" s="567">
        <f t="shared" si="18"/>
        <v>0</v>
      </c>
      <c r="U70" s="567"/>
      <c r="V70" s="567"/>
      <c r="W70" s="567"/>
      <c r="X70" s="551" t="s">
        <v>827</v>
      </c>
      <c r="Y70" s="551" t="s">
        <v>647</v>
      </c>
    </row>
    <row r="71" spans="2:25" s="694" customFormat="1" ht="24.95" customHeight="1">
      <c r="B71" s="676"/>
      <c r="C71" s="677"/>
      <c r="D71" s="678"/>
      <c r="E71" s="679"/>
      <c r="F71" s="679"/>
      <c r="G71" s="688"/>
      <c r="H71" s="557"/>
      <c r="I71" s="613" t="str">
        <f ca="1">тарифікація!C73</f>
        <v>Котельня</v>
      </c>
      <c r="J71" s="556"/>
      <c r="K71" s="562"/>
      <c r="L71" s="562"/>
      <c r="M71" s="562"/>
      <c r="N71" s="562"/>
      <c r="O71" s="562"/>
      <c r="P71" s="563"/>
      <c r="Q71" s="566"/>
      <c r="R71" s="567"/>
      <c r="S71" s="566"/>
      <c r="T71" s="567"/>
      <c r="U71" s="567"/>
      <c r="V71" s="567"/>
      <c r="W71" s="567"/>
      <c r="X71" s="551"/>
      <c r="Y71" s="551"/>
    </row>
    <row r="72" spans="2:25" s="694" customFormat="1" ht="24.95" customHeight="1">
      <c r="B72" s="676">
        <v>8</v>
      </c>
      <c r="C72" s="677" t="s">
        <v>748</v>
      </c>
      <c r="D72" s="678">
        <v>8262</v>
      </c>
      <c r="E72" s="679">
        <v>13785</v>
      </c>
      <c r="F72" s="679">
        <v>62</v>
      </c>
      <c r="G72" s="688" t="s">
        <v>713</v>
      </c>
      <c r="H72" s="557"/>
      <c r="I72" s="565" t="str">
        <f ca="1">тарифікація!C74</f>
        <v>Машиніст котлів</v>
      </c>
      <c r="J72" s="556">
        <f ca="1">тарифікація!S74</f>
        <v>1</v>
      </c>
      <c r="K72" s="562">
        <f ca="1">тарифікація!R74</f>
        <v>3414</v>
      </c>
      <c r="L72" s="551"/>
      <c r="M72" s="551"/>
      <c r="N72" s="562">
        <f ca="1">тарифікація!AA74</f>
        <v>3286</v>
      </c>
      <c r="O72" s="562">
        <f ca="1">тарифікація!AB74</f>
        <v>6700</v>
      </c>
      <c r="P72" s="563">
        <f ca="1">O72*6</f>
        <v>40200</v>
      </c>
      <c r="Q72" s="566">
        <f ca="1">тарифікація!AD74</f>
        <v>6700</v>
      </c>
      <c r="R72" s="567">
        <f>Q72*6</f>
        <v>40200</v>
      </c>
      <c r="S72" s="566">
        <f>Q72-O72</f>
        <v>0</v>
      </c>
      <c r="T72" s="567">
        <f>R72-P72</f>
        <v>0</v>
      </c>
      <c r="U72" s="567"/>
      <c r="V72" s="567"/>
      <c r="W72" s="567"/>
      <c r="X72" s="551" t="s">
        <v>829</v>
      </c>
      <c r="Y72" s="551" t="s">
        <v>647</v>
      </c>
    </row>
    <row r="73" spans="2:25" s="694" customFormat="1" ht="24.95" customHeight="1">
      <c r="B73" s="676">
        <v>8</v>
      </c>
      <c r="C73" s="677" t="s">
        <v>748</v>
      </c>
      <c r="D73" s="678">
        <v>8262</v>
      </c>
      <c r="E73" s="679">
        <v>13786</v>
      </c>
      <c r="F73" s="679">
        <v>1</v>
      </c>
      <c r="G73" s="688" t="s">
        <v>1538</v>
      </c>
      <c r="H73" s="557"/>
      <c r="I73" s="565" t="str">
        <f ca="1">тарифікація!C75</f>
        <v>Машиніст (кочегар) котельні</v>
      </c>
      <c r="J73" s="556">
        <f ca="1">тарифікація!S75+тарифікація!S76+тарифікація!S77+тарифікація!S78+тарифікація!S79+тарифікація!S80+тарифікація!S81+тарифікація!S82+тарифікація!S83</f>
        <v>9</v>
      </c>
      <c r="K73" s="562">
        <f ca="1">тарифікація!R75+тарифікація!R76+тарифікація!R77+тарифікація!R78+тарифікація!R79+тарифікація!R80+тарифікація!R81+тарифікація!R82+тарифікація!R83</f>
        <v>30726</v>
      </c>
      <c r="L73" s="562"/>
      <c r="M73" s="562"/>
      <c r="N73" s="562">
        <f ca="1">тарифікація!AA75+тарифікація!AA76+тарифікація!AA77+тарифікація!AA78+тарифікація!AA79+тарифікація!AA80+тарифікація!AA81+тарифікація!AA82+тарифікація!AA83</f>
        <v>29574</v>
      </c>
      <c r="O73" s="562">
        <f ca="1">тарифікація!AB75+тарифікація!AB76+тарифікація!AB77+тарифікація!AB78+тарифікація!AB79+тарифікація!AB80+тарифікація!AB81+тарифікація!AB82+тарифікація!AB83</f>
        <v>60300</v>
      </c>
      <c r="P73" s="563">
        <f ca="1">O73*6</f>
        <v>361800</v>
      </c>
      <c r="Q73" s="566">
        <f ca="1">тарифікація!AD75+тарифікація!AD76+тарифікація!AD77+тарифікація!AD78+тарифікація!AD79+тарифікація!AD80+тарифікація!AD81+тарифікація!AD82+тарифікація!AD83</f>
        <v>60300</v>
      </c>
      <c r="R73" s="567">
        <f>Q73*6</f>
        <v>361800</v>
      </c>
      <c r="S73" s="566">
        <f>Q73-O73</f>
        <v>0</v>
      </c>
      <c r="T73" s="567">
        <f>R73-P73</f>
        <v>0</v>
      </c>
      <c r="U73" s="567"/>
      <c r="V73" s="567"/>
      <c r="W73" s="567"/>
      <c r="X73" s="551" t="s">
        <v>829</v>
      </c>
      <c r="Y73" s="551" t="s">
        <v>647</v>
      </c>
    </row>
    <row r="74" spans="2:25" s="680" customFormat="1" ht="24.95" customHeight="1">
      <c r="B74" s="670"/>
      <c r="C74" s="670"/>
      <c r="D74" s="670"/>
      <c r="E74" s="670"/>
      <c r="F74" s="670"/>
      <c r="G74" s="683"/>
      <c r="H74" s="557"/>
      <c r="I74" s="568" t="s">
        <v>653</v>
      </c>
      <c r="J74" s="558">
        <f>SUM(J52:J73)</f>
        <v>33.5</v>
      </c>
      <c r="K74" s="569">
        <f>SUM(K52:K73)</f>
        <v>130509.8</v>
      </c>
      <c r="L74" s="569">
        <f t="shared" ref="L74:T74" si="19">SUM(L52:L73)</f>
        <v>4200.8</v>
      </c>
      <c r="M74" s="569">
        <f t="shared" si="19"/>
        <v>1157.2</v>
      </c>
      <c r="N74" s="569">
        <f t="shared" si="19"/>
        <v>104175.4</v>
      </c>
      <c r="O74" s="569">
        <f t="shared" si="19"/>
        <v>225607.2</v>
      </c>
      <c r="P74" s="569">
        <f t="shared" si="19"/>
        <v>2305286.4</v>
      </c>
      <c r="Q74" s="569">
        <f t="shared" si="19"/>
        <v>225607.2</v>
      </c>
      <c r="R74" s="569">
        <f>SUM(R52:R73)</f>
        <v>2305286.4</v>
      </c>
      <c r="S74" s="569">
        <f t="shared" si="19"/>
        <v>0</v>
      </c>
      <c r="T74" s="569">
        <f t="shared" si="19"/>
        <v>0</v>
      </c>
      <c r="U74" s="569"/>
      <c r="V74" s="569"/>
      <c r="W74" s="569"/>
      <c r="X74" s="577"/>
      <c r="Y74" s="577"/>
    </row>
    <row r="75" spans="2:25" s="680" customFormat="1" ht="24.95" customHeight="1">
      <c r="B75" s="670"/>
      <c r="C75" s="670"/>
      <c r="D75" s="670"/>
      <c r="E75" s="670"/>
      <c r="F75" s="670"/>
      <c r="G75" s="683"/>
      <c r="H75" s="557"/>
      <c r="I75" s="558" t="s">
        <v>505</v>
      </c>
      <c r="J75" s="558"/>
      <c r="K75" s="558"/>
      <c r="L75" s="558"/>
      <c r="M75" s="558"/>
      <c r="N75" s="558"/>
      <c r="O75" s="558"/>
      <c r="P75" s="558"/>
      <c r="Q75" s="572"/>
      <c r="R75" s="572"/>
      <c r="S75" s="572"/>
      <c r="T75" s="572"/>
      <c r="U75" s="572"/>
      <c r="V75" s="572"/>
      <c r="W75" s="572"/>
      <c r="X75" s="548"/>
      <c r="Y75" s="548"/>
    </row>
    <row r="76" spans="2:25" s="680" customFormat="1" ht="24.95" customHeight="1">
      <c r="B76" s="670"/>
      <c r="C76" s="670"/>
      <c r="D76" s="670"/>
      <c r="E76" s="670"/>
      <c r="F76" s="670"/>
      <c r="G76" s="683"/>
      <c r="H76" s="557"/>
      <c r="I76" s="613" t="s">
        <v>1720</v>
      </c>
      <c r="J76" s="558"/>
      <c r="K76" s="558"/>
      <c r="L76" s="558"/>
      <c r="M76" s="558"/>
      <c r="N76" s="558"/>
      <c r="O76" s="558"/>
      <c r="P76" s="558"/>
      <c r="Q76" s="572"/>
      <c r="R76" s="572"/>
      <c r="S76" s="572"/>
      <c r="T76" s="572"/>
      <c r="U76" s="572"/>
      <c r="V76" s="572"/>
      <c r="W76" s="572"/>
      <c r="X76" s="548"/>
      <c r="Y76" s="548"/>
    </row>
    <row r="77" spans="2:25" s="680" customFormat="1" ht="24.95" customHeight="1">
      <c r="B77" s="676">
        <v>2</v>
      </c>
      <c r="C77" s="677" t="s">
        <v>752</v>
      </c>
      <c r="D77" s="678" t="s">
        <v>656</v>
      </c>
      <c r="E77" s="679">
        <v>20314</v>
      </c>
      <c r="F77" s="679">
        <v>78</v>
      </c>
      <c r="G77" s="688" t="s">
        <v>718</v>
      </c>
      <c r="H77" s="557"/>
      <c r="I77" s="565" t="str">
        <f ca="1">тарифікація!C87</f>
        <v>Лікар - акушер - гінеколог</v>
      </c>
      <c r="J77" s="556">
        <f ca="1">тарифікація!S87+тарифікація!T87</f>
        <v>1</v>
      </c>
      <c r="K77" s="562">
        <f ca="1">тарифікація!R87</f>
        <v>6746.3</v>
      </c>
      <c r="L77" s="563">
        <f ca="1">тарифікація!Z87</f>
        <v>1349.2600000000002</v>
      </c>
      <c r="M77" s="563"/>
      <c r="N77" s="563">
        <f ca="1">тарифікація!AA87</f>
        <v>0</v>
      </c>
      <c r="O77" s="562">
        <f ca="1">тарифікація!AB87</f>
        <v>8095.56</v>
      </c>
      <c r="P77" s="563">
        <f ca="1">O77*12</f>
        <v>97146.72</v>
      </c>
      <c r="Q77" s="566">
        <f ca="1">тарифікація!AD87</f>
        <v>20000</v>
      </c>
      <c r="R77" s="567">
        <f>Q77*12</f>
        <v>240000</v>
      </c>
      <c r="S77" s="566">
        <f>Q77-O77</f>
        <v>11904.439999999999</v>
      </c>
      <c r="T77" s="567">
        <f>R77-P77</f>
        <v>142853.28</v>
      </c>
      <c r="U77" s="567"/>
      <c r="V77" s="567"/>
      <c r="W77" s="567"/>
      <c r="X77" s="548" t="s">
        <v>643</v>
      </c>
      <c r="Y77" s="548" t="s">
        <v>643</v>
      </c>
    </row>
    <row r="78" spans="2:25" s="680" customFormat="1" ht="24.95" customHeight="1">
      <c r="B78" s="676">
        <v>2</v>
      </c>
      <c r="C78" s="677" t="s">
        <v>752</v>
      </c>
      <c r="D78" s="678" t="s">
        <v>656</v>
      </c>
      <c r="E78" s="679">
        <v>20314</v>
      </c>
      <c r="F78" s="679">
        <v>78</v>
      </c>
      <c r="G78" s="688" t="s">
        <v>718</v>
      </c>
      <c r="H78" s="557"/>
      <c r="I78" s="565" t="str">
        <f ca="1">тарифікація!C88</f>
        <v>Лікар - акушер - гінеколог</v>
      </c>
      <c r="J78" s="556">
        <f ca="1">тарифікація!S88+тарифікація!T88</f>
        <v>1</v>
      </c>
      <c r="K78" s="562">
        <f ca="1">тарифікація!R88</f>
        <v>7701.1</v>
      </c>
      <c r="L78" s="563">
        <f ca="1">тарифікація!Z88</f>
        <v>1540.2200000000003</v>
      </c>
      <c r="M78" s="563"/>
      <c r="N78" s="563">
        <f ca="1">тарифікація!AA88</f>
        <v>0</v>
      </c>
      <c r="O78" s="562">
        <f ca="1">тарифікація!AB88</f>
        <v>9241.32</v>
      </c>
      <c r="P78" s="563">
        <f t="shared" ref="P78:P94" si="20">O78*12</f>
        <v>110895.84</v>
      </c>
      <c r="Q78" s="566">
        <f ca="1">тарифікація!AD88</f>
        <v>20000</v>
      </c>
      <c r="R78" s="567">
        <f t="shared" ref="R78:R94" si="21">Q78*12</f>
        <v>240000</v>
      </c>
      <c r="S78" s="566">
        <f>Q78-O78</f>
        <v>10758.68</v>
      </c>
      <c r="T78" s="567">
        <f>R78-P78</f>
        <v>129104.16</v>
      </c>
      <c r="U78" s="567"/>
      <c r="V78" s="567"/>
      <c r="W78" s="567"/>
      <c r="X78" s="548" t="s">
        <v>643</v>
      </c>
      <c r="Y78" s="548" t="s">
        <v>643</v>
      </c>
    </row>
    <row r="79" spans="2:25" s="680" customFormat="1" ht="24.95" customHeight="1">
      <c r="B79" s="676">
        <v>2</v>
      </c>
      <c r="C79" s="677" t="s">
        <v>752</v>
      </c>
      <c r="D79" s="678" t="s">
        <v>656</v>
      </c>
      <c r="E79" s="679" t="s">
        <v>500</v>
      </c>
      <c r="F79" s="679">
        <v>78</v>
      </c>
      <c r="G79" s="688" t="s">
        <v>551</v>
      </c>
      <c r="H79" s="557"/>
      <c r="I79" s="565" t="str">
        <f ca="1">тарифікація!C89</f>
        <v>Лікар - ортопед - травматолог</v>
      </c>
      <c r="J79" s="556">
        <f ca="1">тарифікація!S89+тарифікація!T89</f>
        <v>1</v>
      </c>
      <c r="K79" s="562">
        <f ca="1">тарифікація!R89</f>
        <v>7552.05</v>
      </c>
      <c r="L79" s="563">
        <f ca="1">тарифікація!Z89</f>
        <v>2265.6149999999998</v>
      </c>
      <c r="M79" s="563"/>
      <c r="N79" s="563">
        <f ca="1">тарифікація!AA89</f>
        <v>0</v>
      </c>
      <c r="O79" s="562">
        <f ca="1">тарифікація!AB89</f>
        <v>9817.6650000000009</v>
      </c>
      <c r="P79" s="563">
        <f t="shared" si="20"/>
        <v>117811.98000000001</v>
      </c>
      <c r="Q79" s="566">
        <f ca="1">тарифікація!AD89</f>
        <v>20000</v>
      </c>
      <c r="R79" s="567">
        <f t="shared" si="21"/>
        <v>240000</v>
      </c>
      <c r="S79" s="566">
        <f t="shared" ref="S79:T93" si="22">Q79-O79</f>
        <v>10182.334999999999</v>
      </c>
      <c r="T79" s="567">
        <f t="shared" si="22"/>
        <v>122188.01999999999</v>
      </c>
      <c r="U79" s="567"/>
      <c r="V79" s="567"/>
      <c r="W79" s="567"/>
      <c r="X79" s="548" t="s">
        <v>643</v>
      </c>
      <c r="Y79" s="548" t="s">
        <v>643</v>
      </c>
    </row>
    <row r="80" spans="2:25" s="680" customFormat="1" ht="24.95" customHeight="1">
      <c r="B80" s="676">
        <v>2</v>
      </c>
      <c r="C80" s="677" t="s">
        <v>752</v>
      </c>
      <c r="D80" s="678" t="s">
        <v>656</v>
      </c>
      <c r="E80" s="679">
        <v>20417</v>
      </c>
      <c r="F80" s="679">
        <v>78</v>
      </c>
      <c r="G80" s="688" t="s">
        <v>719</v>
      </c>
      <c r="H80" s="557"/>
      <c r="I80" s="565" t="str">
        <f ca="1">тарифікація!C90</f>
        <v>Лікар - психіатр</v>
      </c>
      <c r="J80" s="556">
        <f ca="1">тарифікація!S90+тарифікація!T90</f>
        <v>1</v>
      </c>
      <c r="K80" s="562">
        <f ca="1">тарифікація!R90</f>
        <v>8208.75</v>
      </c>
      <c r="L80" s="563">
        <f ca="1">тарифікація!Z90</f>
        <v>2462.625</v>
      </c>
      <c r="M80" s="563"/>
      <c r="N80" s="563">
        <f ca="1">тарифікація!AA90</f>
        <v>0</v>
      </c>
      <c r="O80" s="562">
        <f ca="1">тарифікація!AB90</f>
        <v>10671.375</v>
      </c>
      <c r="P80" s="563">
        <f t="shared" si="20"/>
        <v>128056.5</v>
      </c>
      <c r="Q80" s="566">
        <f ca="1">тарифікація!AD90</f>
        <v>20000</v>
      </c>
      <c r="R80" s="567">
        <f t="shared" si="21"/>
        <v>240000</v>
      </c>
      <c r="S80" s="566">
        <f t="shared" si="22"/>
        <v>9328.625</v>
      </c>
      <c r="T80" s="567">
        <f t="shared" si="22"/>
        <v>111943.5</v>
      </c>
      <c r="U80" s="567"/>
      <c r="V80" s="567"/>
      <c r="W80" s="567"/>
      <c r="X80" s="548" t="s">
        <v>643</v>
      </c>
      <c r="Y80" s="548" t="s">
        <v>643</v>
      </c>
    </row>
    <row r="81" spans="2:25" s="680" customFormat="1" ht="24.95" customHeight="1">
      <c r="B81" s="676">
        <v>2</v>
      </c>
      <c r="C81" s="677" t="s">
        <v>752</v>
      </c>
      <c r="D81" s="678" t="s">
        <v>720</v>
      </c>
      <c r="E81" s="679">
        <v>20459</v>
      </c>
      <c r="F81" s="679">
        <v>78</v>
      </c>
      <c r="G81" s="688" t="s">
        <v>721</v>
      </c>
      <c r="H81" s="557"/>
      <c r="I81" s="565" t="str">
        <f ca="1">тарифікація!C91</f>
        <v xml:space="preserve">Лікар - стоматолог </v>
      </c>
      <c r="J81" s="556">
        <f ca="1">тарифікація!S91+тарифікація!T91</f>
        <v>1</v>
      </c>
      <c r="K81" s="562">
        <f ca="1">тарифікація!R91</f>
        <v>5265</v>
      </c>
      <c r="L81" s="563">
        <f ca="1">тарифікація!Z91</f>
        <v>0</v>
      </c>
      <c r="M81" s="563"/>
      <c r="N81" s="563">
        <f ca="1">тарифікація!AA91</f>
        <v>1435</v>
      </c>
      <c r="O81" s="562">
        <f ca="1">тарифікація!AB91</f>
        <v>6700</v>
      </c>
      <c r="P81" s="563">
        <f t="shared" si="20"/>
        <v>80400</v>
      </c>
      <c r="Q81" s="566">
        <f ca="1">тарифікація!AD91</f>
        <v>20000</v>
      </c>
      <c r="R81" s="567">
        <f t="shared" si="21"/>
        <v>240000</v>
      </c>
      <c r="S81" s="566">
        <f t="shared" si="22"/>
        <v>13300</v>
      </c>
      <c r="T81" s="567">
        <f t="shared" si="22"/>
        <v>159600</v>
      </c>
      <c r="U81" s="567"/>
      <c r="V81" s="567"/>
      <c r="W81" s="567"/>
      <c r="X81" s="548" t="s">
        <v>643</v>
      </c>
      <c r="Y81" s="548" t="s">
        <v>643</v>
      </c>
    </row>
    <row r="82" spans="2:25" s="680" customFormat="1" ht="24.95" customHeight="1">
      <c r="B82" s="676">
        <v>2</v>
      </c>
      <c r="C82" s="677" t="s">
        <v>752</v>
      </c>
      <c r="D82" s="678" t="s">
        <v>720</v>
      </c>
      <c r="E82" s="679">
        <v>20459</v>
      </c>
      <c r="F82" s="679">
        <v>78</v>
      </c>
      <c r="G82" s="688" t="s">
        <v>721</v>
      </c>
      <c r="H82" s="557"/>
      <c r="I82" s="565" t="str">
        <f ca="1">тарифікація!C92</f>
        <v xml:space="preserve">Лікар - стоматолог </v>
      </c>
      <c r="J82" s="556">
        <f ca="1">тарифікація!S92+тарифікація!T92</f>
        <v>1</v>
      </c>
      <c r="K82" s="562">
        <f ca="1">тарифікація!R92</f>
        <v>5265</v>
      </c>
      <c r="L82" s="563">
        <f ca="1">тарифікація!Z92</f>
        <v>0</v>
      </c>
      <c r="M82" s="563"/>
      <c r="N82" s="563">
        <f ca="1">тарифікація!AA92</f>
        <v>1435</v>
      </c>
      <c r="O82" s="562">
        <f ca="1">тарифікація!AB92</f>
        <v>6700</v>
      </c>
      <c r="P82" s="563">
        <f t="shared" si="20"/>
        <v>80400</v>
      </c>
      <c r="Q82" s="566">
        <f ca="1">тарифікація!AD92</f>
        <v>20000</v>
      </c>
      <c r="R82" s="567">
        <f t="shared" si="21"/>
        <v>240000</v>
      </c>
      <c r="S82" s="566">
        <f t="shared" si="22"/>
        <v>13300</v>
      </c>
      <c r="T82" s="567">
        <f t="shared" si="22"/>
        <v>159600</v>
      </c>
      <c r="U82" s="567"/>
      <c r="V82" s="567"/>
      <c r="W82" s="567"/>
      <c r="X82" s="548" t="s">
        <v>643</v>
      </c>
      <c r="Y82" s="548" t="s">
        <v>643</v>
      </c>
    </row>
    <row r="83" spans="2:25" s="680" customFormat="1" ht="24.95" customHeight="1">
      <c r="B83" s="676">
        <v>2</v>
      </c>
      <c r="C83" s="677" t="s">
        <v>752</v>
      </c>
      <c r="D83" s="678" t="s">
        <v>656</v>
      </c>
      <c r="E83" s="679">
        <v>20481</v>
      </c>
      <c r="F83" s="679">
        <v>78</v>
      </c>
      <c r="G83" s="688" t="s">
        <v>722</v>
      </c>
      <c r="H83" s="557"/>
      <c r="I83" s="565" t="str">
        <f ca="1">тарифікація!C93</f>
        <v xml:space="preserve">Лікар - терапевт </v>
      </c>
      <c r="J83" s="556">
        <f ca="1">тарифікація!S93+тарифікація!T93</f>
        <v>1</v>
      </c>
      <c r="K83" s="562">
        <f ca="1">тарифікація!R93</f>
        <v>6567</v>
      </c>
      <c r="L83" s="563">
        <f ca="1">тарифікація!Z93</f>
        <v>1970.1</v>
      </c>
      <c r="M83" s="563"/>
      <c r="N83" s="563">
        <f ca="1">тарифікація!AA93</f>
        <v>0</v>
      </c>
      <c r="O83" s="562">
        <f ca="1">тарифікація!AB93</f>
        <v>8537.1</v>
      </c>
      <c r="P83" s="563">
        <f t="shared" si="20"/>
        <v>102445.20000000001</v>
      </c>
      <c r="Q83" s="566">
        <f ca="1">тарифікація!AD93</f>
        <v>20000</v>
      </c>
      <c r="R83" s="567">
        <f t="shared" si="21"/>
        <v>240000</v>
      </c>
      <c r="S83" s="566">
        <f t="shared" si="22"/>
        <v>11462.9</v>
      </c>
      <c r="T83" s="567">
        <f t="shared" si="22"/>
        <v>137554.79999999999</v>
      </c>
      <c r="U83" s="567"/>
      <c r="V83" s="567"/>
      <c r="W83" s="567"/>
      <c r="X83" s="548" t="s">
        <v>643</v>
      </c>
      <c r="Y83" s="548" t="s">
        <v>643</v>
      </c>
    </row>
    <row r="84" spans="2:25" s="680" customFormat="1" ht="24.95" customHeight="1">
      <c r="B84" s="676">
        <v>2</v>
      </c>
      <c r="C84" s="677" t="s">
        <v>752</v>
      </c>
      <c r="D84" s="678" t="s">
        <v>656</v>
      </c>
      <c r="E84" s="679" t="s">
        <v>500</v>
      </c>
      <c r="F84" s="679">
        <v>78</v>
      </c>
      <c r="G84" s="688" t="s">
        <v>1253</v>
      </c>
      <c r="H84" s="557"/>
      <c r="I84" s="565" t="str">
        <f ca="1">тарифікація!C94</f>
        <v>Лікар з ультразвукової діагностики</v>
      </c>
      <c r="J84" s="556">
        <f ca="1">тарифікація!S94+тарифікація!T94</f>
        <v>0.75</v>
      </c>
      <c r="K84" s="562">
        <f ca="1">тарифікація!R94</f>
        <v>6054.75</v>
      </c>
      <c r="L84" s="563">
        <f ca="1">тарифікація!Z94</f>
        <v>605.47500000000002</v>
      </c>
      <c r="M84" s="563"/>
      <c r="N84" s="563">
        <f ca="1">тарифікація!AA94</f>
        <v>29.831249999999272</v>
      </c>
      <c r="O84" s="562">
        <f ca="1">тарифікація!AB94</f>
        <v>5025</v>
      </c>
      <c r="P84" s="563">
        <f t="shared" si="20"/>
        <v>60300</v>
      </c>
      <c r="Q84" s="566">
        <f ca="1">тарифікація!AD94</f>
        <v>15000</v>
      </c>
      <c r="R84" s="567">
        <f t="shared" si="21"/>
        <v>180000</v>
      </c>
      <c r="S84" s="566">
        <f t="shared" si="22"/>
        <v>9975</v>
      </c>
      <c r="T84" s="567">
        <f t="shared" si="22"/>
        <v>119700</v>
      </c>
      <c r="U84" s="567"/>
      <c r="V84" s="567"/>
      <c r="W84" s="567"/>
      <c r="X84" s="548" t="s">
        <v>643</v>
      </c>
      <c r="Y84" s="548" t="s">
        <v>643</v>
      </c>
    </row>
    <row r="85" spans="2:25" s="680" customFormat="1" ht="24.95" customHeight="1">
      <c r="B85" s="676">
        <v>2</v>
      </c>
      <c r="C85" s="677" t="s">
        <v>752</v>
      </c>
      <c r="D85" s="678" t="s">
        <v>656</v>
      </c>
      <c r="E85" s="679" t="s">
        <v>500</v>
      </c>
      <c r="F85" s="679">
        <v>78</v>
      </c>
      <c r="G85" s="688" t="s">
        <v>1253</v>
      </c>
      <c r="H85" s="557"/>
      <c r="I85" s="565" t="str">
        <f ca="1">тарифікація!C95</f>
        <v>Лікар з ультразвукової діагностики</v>
      </c>
      <c r="J85" s="556">
        <f ca="1">тарифікація!S95+тарифікація!T95</f>
        <v>0.5</v>
      </c>
      <c r="K85" s="562">
        <f ca="1">тарифікація!R95</f>
        <v>7052.95</v>
      </c>
      <c r="L85" s="563">
        <f ca="1">тарифікація!Z95</f>
        <v>1410.5900000000001</v>
      </c>
      <c r="M85" s="563"/>
      <c r="N85" s="563">
        <f ca="1">тарифікація!AA95</f>
        <v>0</v>
      </c>
      <c r="O85" s="562">
        <f ca="1">тарифікація!AB95</f>
        <v>4231.7700000000004</v>
      </c>
      <c r="P85" s="563">
        <f t="shared" si="20"/>
        <v>50781.240000000005</v>
      </c>
      <c r="Q85" s="566">
        <f ca="1">тарифікація!AD95</f>
        <v>10000</v>
      </c>
      <c r="R85" s="567">
        <f t="shared" si="21"/>
        <v>120000</v>
      </c>
      <c r="S85" s="566">
        <f t="shared" si="22"/>
        <v>5768.23</v>
      </c>
      <c r="T85" s="567">
        <f t="shared" si="22"/>
        <v>69218.759999999995</v>
      </c>
      <c r="U85" s="567"/>
      <c r="V85" s="567"/>
      <c r="W85" s="567"/>
      <c r="X85" s="548" t="s">
        <v>643</v>
      </c>
      <c r="Y85" s="548" t="s">
        <v>643</v>
      </c>
    </row>
    <row r="86" spans="2:25" s="680" customFormat="1" ht="24.95" customHeight="1">
      <c r="B86" s="676">
        <v>2</v>
      </c>
      <c r="C86" s="677" t="s">
        <v>752</v>
      </c>
      <c r="D86" s="678" t="s">
        <v>656</v>
      </c>
      <c r="E86" s="679">
        <v>20338</v>
      </c>
      <c r="F86" s="679">
        <v>78</v>
      </c>
      <c r="G86" s="688" t="s">
        <v>512</v>
      </c>
      <c r="H86" s="557"/>
      <c r="I86" s="565" t="str">
        <f ca="1">тарифікація!C96</f>
        <v>Лікар-дерматовенеролог</v>
      </c>
      <c r="J86" s="556">
        <f ca="1">тарифікація!S96+тарифікація!T96</f>
        <v>0.25</v>
      </c>
      <c r="K86" s="562">
        <f ca="1">тарифікація!R96</f>
        <v>7552.05</v>
      </c>
      <c r="L86" s="563">
        <f ca="1">тарифікація!Z96</f>
        <v>0</v>
      </c>
      <c r="M86" s="563"/>
      <c r="N86" s="563">
        <f ca="1">тарифікація!AA96</f>
        <v>0</v>
      </c>
      <c r="O86" s="562">
        <f ca="1">тарифікація!AB96</f>
        <v>1888.0125</v>
      </c>
      <c r="P86" s="563">
        <f t="shared" si="20"/>
        <v>22656.15</v>
      </c>
      <c r="Q86" s="566">
        <f ca="1">тарифікація!AD96</f>
        <v>5000</v>
      </c>
      <c r="R86" s="567">
        <f t="shared" si="21"/>
        <v>60000</v>
      </c>
      <c r="S86" s="566">
        <f t="shared" si="22"/>
        <v>3111.9875000000002</v>
      </c>
      <c r="T86" s="567">
        <f t="shared" si="22"/>
        <v>37343.85</v>
      </c>
      <c r="U86" s="567"/>
      <c r="V86" s="567"/>
      <c r="W86" s="567"/>
      <c r="X86" s="548" t="s">
        <v>643</v>
      </c>
      <c r="Y86" s="548" t="s">
        <v>643</v>
      </c>
    </row>
    <row r="87" spans="2:25" s="680" customFormat="1" ht="24.95" customHeight="1">
      <c r="B87" s="676">
        <v>2</v>
      </c>
      <c r="C87" s="677" t="s">
        <v>752</v>
      </c>
      <c r="D87" s="678" t="s">
        <v>656</v>
      </c>
      <c r="E87" s="679">
        <v>20520</v>
      </c>
      <c r="F87" s="679">
        <v>78</v>
      </c>
      <c r="G87" s="688" t="s">
        <v>514</v>
      </c>
      <c r="H87" s="557"/>
      <c r="I87" s="565" t="str">
        <f ca="1">тарифікація!C97</f>
        <v>Лікар-ендокринолог</v>
      </c>
      <c r="J87" s="556">
        <f ca="1">тарифікація!S97+тарифікація!T97</f>
        <v>1</v>
      </c>
      <c r="K87" s="562">
        <f ca="1">тарифікація!R97</f>
        <v>6133</v>
      </c>
      <c r="L87" s="563">
        <f ca="1">тарифікація!Z97</f>
        <v>1839.8999999999999</v>
      </c>
      <c r="M87" s="563"/>
      <c r="N87" s="563">
        <f ca="1">тарифікація!AA97</f>
        <v>0</v>
      </c>
      <c r="O87" s="562">
        <f ca="1">тарифікація!AB97</f>
        <v>7972.9</v>
      </c>
      <c r="P87" s="563">
        <f t="shared" si="20"/>
        <v>95674.799999999988</v>
      </c>
      <c r="Q87" s="566">
        <f ca="1">тарифікація!AD97</f>
        <v>20000</v>
      </c>
      <c r="R87" s="567">
        <f t="shared" si="21"/>
        <v>240000</v>
      </c>
      <c r="S87" s="566">
        <f t="shared" si="22"/>
        <v>12027.1</v>
      </c>
      <c r="T87" s="567">
        <f t="shared" si="22"/>
        <v>144325.20000000001</v>
      </c>
      <c r="U87" s="567"/>
      <c r="V87" s="567"/>
      <c r="W87" s="567"/>
      <c r="X87" s="548" t="s">
        <v>643</v>
      </c>
      <c r="Y87" s="548" t="s">
        <v>643</v>
      </c>
    </row>
    <row r="88" spans="2:25" s="680" customFormat="1" ht="24.95" customHeight="1">
      <c r="B88" s="676">
        <v>2</v>
      </c>
      <c r="C88" s="677" t="s">
        <v>752</v>
      </c>
      <c r="D88" s="678" t="s">
        <v>679</v>
      </c>
      <c r="E88" s="679">
        <v>20521</v>
      </c>
      <c r="F88" s="679">
        <v>78</v>
      </c>
      <c r="G88" s="688" t="s">
        <v>517</v>
      </c>
      <c r="H88" s="557"/>
      <c r="I88" s="565" t="str">
        <f ca="1">тарифікація!C98</f>
        <v>Лікар-ендоскопіст</v>
      </c>
      <c r="J88" s="556">
        <f ca="1">тарифікація!S98+тарифікація!T98</f>
        <v>1</v>
      </c>
      <c r="K88" s="562">
        <f ca="1">тарифікація!R98</f>
        <v>7552.05</v>
      </c>
      <c r="L88" s="563">
        <f ca="1">тарифікація!Z98</f>
        <v>2265.6149999999998</v>
      </c>
      <c r="M88" s="563"/>
      <c r="N88" s="563">
        <f ca="1">тарифікація!AA98</f>
        <v>0</v>
      </c>
      <c r="O88" s="562">
        <f ca="1">тарифікація!AB98</f>
        <v>9817.6650000000009</v>
      </c>
      <c r="P88" s="563">
        <f t="shared" si="20"/>
        <v>117811.98000000001</v>
      </c>
      <c r="Q88" s="566">
        <f ca="1">тарифікація!AD98</f>
        <v>20000</v>
      </c>
      <c r="R88" s="567">
        <f t="shared" si="21"/>
        <v>240000</v>
      </c>
      <c r="S88" s="566">
        <f t="shared" si="22"/>
        <v>10182.334999999999</v>
      </c>
      <c r="T88" s="567">
        <f t="shared" si="22"/>
        <v>122188.01999999999</v>
      </c>
      <c r="U88" s="567"/>
      <c r="V88" s="567"/>
      <c r="W88" s="567"/>
      <c r="X88" s="548" t="s">
        <v>643</v>
      </c>
      <c r="Y88" s="548" t="s">
        <v>643</v>
      </c>
    </row>
    <row r="89" spans="2:25" s="680" customFormat="1" ht="24.95" customHeight="1">
      <c r="B89" s="676">
        <v>2</v>
      </c>
      <c r="C89" s="677" t="s">
        <v>752</v>
      </c>
      <c r="D89" s="678" t="s">
        <v>656</v>
      </c>
      <c r="E89" s="679">
        <v>20366</v>
      </c>
      <c r="F89" s="679">
        <v>78</v>
      </c>
      <c r="G89" s="688" t="s">
        <v>520</v>
      </c>
      <c r="H89" s="557"/>
      <c r="I89" s="565" t="str">
        <f ca="1">тарифікація!C99</f>
        <v>Лікар-нарколог</v>
      </c>
      <c r="J89" s="556">
        <f ca="1">тарифікація!S99+тарифікація!T99</f>
        <v>0.5</v>
      </c>
      <c r="K89" s="562">
        <f ca="1">тарифікація!R99</f>
        <v>8208.75</v>
      </c>
      <c r="L89" s="563">
        <f ca="1">тарифікація!Z99</f>
        <v>0</v>
      </c>
      <c r="M89" s="563"/>
      <c r="N89" s="563">
        <f ca="1">тарифікація!AA99</f>
        <v>0</v>
      </c>
      <c r="O89" s="562">
        <f ca="1">тарифікація!AB99</f>
        <v>4104.375</v>
      </c>
      <c r="P89" s="563">
        <f t="shared" si="20"/>
        <v>49252.5</v>
      </c>
      <c r="Q89" s="566">
        <f ca="1">тарифікація!AD99</f>
        <v>10000</v>
      </c>
      <c r="R89" s="567">
        <f t="shared" si="21"/>
        <v>120000</v>
      </c>
      <c r="S89" s="566">
        <f t="shared" si="22"/>
        <v>5895.625</v>
      </c>
      <c r="T89" s="567">
        <f t="shared" si="22"/>
        <v>70747.5</v>
      </c>
      <c r="U89" s="567"/>
      <c r="V89" s="567"/>
      <c r="W89" s="567"/>
      <c r="X89" s="548" t="s">
        <v>643</v>
      </c>
      <c r="Y89" s="548" t="s">
        <v>643</v>
      </c>
    </row>
    <row r="90" spans="2:25" s="680" customFormat="1" ht="24.95" customHeight="1">
      <c r="B90" s="676">
        <v>2</v>
      </c>
      <c r="C90" s="677" t="s">
        <v>752</v>
      </c>
      <c r="D90" s="678" t="s">
        <v>656</v>
      </c>
      <c r="E90" s="679">
        <v>20371</v>
      </c>
      <c r="F90" s="679">
        <v>78</v>
      </c>
      <c r="G90" s="688" t="s">
        <v>657</v>
      </c>
      <c r="H90" s="557"/>
      <c r="I90" s="565" t="str">
        <f ca="1">тарифікація!C100</f>
        <v>Лікар - невропатолог</v>
      </c>
      <c r="J90" s="556">
        <f ca="1">тарифікація!S100+тарифікація!T100</f>
        <v>1</v>
      </c>
      <c r="K90" s="562">
        <f ca="1">тарифікація!R100</f>
        <v>6567</v>
      </c>
      <c r="L90" s="563">
        <f ca="1">тарифікація!Z100</f>
        <v>1970.1</v>
      </c>
      <c r="M90" s="563"/>
      <c r="N90" s="563">
        <f ca="1">тарифікація!AA100</f>
        <v>0</v>
      </c>
      <c r="O90" s="562">
        <f ca="1">тарифікація!AB100</f>
        <v>8537.1</v>
      </c>
      <c r="P90" s="563">
        <f t="shared" si="20"/>
        <v>102445.20000000001</v>
      </c>
      <c r="Q90" s="566">
        <f ca="1">тарифікація!AD100</f>
        <v>20000</v>
      </c>
      <c r="R90" s="567">
        <f t="shared" si="21"/>
        <v>240000</v>
      </c>
      <c r="S90" s="566">
        <f t="shared" si="22"/>
        <v>11462.9</v>
      </c>
      <c r="T90" s="567">
        <f t="shared" si="22"/>
        <v>137554.79999999999</v>
      </c>
      <c r="U90" s="567"/>
      <c r="V90" s="567"/>
      <c r="W90" s="567"/>
      <c r="X90" s="548" t="s">
        <v>643</v>
      </c>
      <c r="Y90" s="548" t="s">
        <v>643</v>
      </c>
    </row>
    <row r="91" spans="2:25" s="680" customFormat="1" ht="24.95" customHeight="1">
      <c r="B91" s="676">
        <v>2</v>
      </c>
      <c r="C91" s="677" t="s">
        <v>752</v>
      </c>
      <c r="D91" s="678" t="s">
        <v>656</v>
      </c>
      <c r="E91" s="679">
        <v>20380</v>
      </c>
      <c r="F91" s="679">
        <v>78</v>
      </c>
      <c r="G91" s="688" t="s">
        <v>1241</v>
      </c>
      <c r="H91" s="557"/>
      <c r="I91" s="565" t="str">
        <f ca="1">тарифікація!C101</f>
        <v>Лікар-отоларинголог</v>
      </c>
      <c r="J91" s="556">
        <f ca="1">тарифікація!S101+тарифікація!T101</f>
        <v>1</v>
      </c>
      <c r="K91" s="562">
        <f ca="1">тарифікація!R101</f>
        <v>7552.05</v>
      </c>
      <c r="L91" s="563">
        <f ca="1">тарифікація!Z101</f>
        <v>2265.6149999999998</v>
      </c>
      <c r="M91" s="563"/>
      <c r="N91" s="563">
        <f ca="1">тарифікація!AA101</f>
        <v>0</v>
      </c>
      <c r="O91" s="562">
        <f ca="1">тарифікація!AB101</f>
        <v>9817.6650000000009</v>
      </c>
      <c r="P91" s="563">
        <f t="shared" si="20"/>
        <v>117811.98000000001</v>
      </c>
      <c r="Q91" s="566">
        <f ca="1">тарифікація!AD101</f>
        <v>20000</v>
      </c>
      <c r="R91" s="567">
        <f t="shared" si="21"/>
        <v>240000</v>
      </c>
      <c r="S91" s="566">
        <f t="shared" si="22"/>
        <v>10182.334999999999</v>
      </c>
      <c r="T91" s="567">
        <f t="shared" si="22"/>
        <v>122188.01999999999</v>
      </c>
      <c r="U91" s="567"/>
      <c r="V91" s="567"/>
      <c r="W91" s="567"/>
      <c r="X91" s="548" t="s">
        <v>643</v>
      </c>
      <c r="Y91" s="548" t="s">
        <v>643</v>
      </c>
    </row>
    <row r="92" spans="2:25" s="680" customFormat="1" ht="24.95" customHeight="1">
      <c r="B92" s="676">
        <v>2</v>
      </c>
      <c r="C92" s="677" t="s">
        <v>752</v>
      </c>
      <c r="D92" s="678" t="s">
        <v>656</v>
      </c>
      <c r="E92" s="679">
        <v>20383</v>
      </c>
      <c r="F92" s="679">
        <v>78</v>
      </c>
      <c r="G92" s="688" t="s">
        <v>1244</v>
      </c>
      <c r="H92" s="557"/>
      <c r="I92" s="565" t="str">
        <f ca="1">тарифікація!C102</f>
        <v>Лікар-офтальмолог</v>
      </c>
      <c r="J92" s="556">
        <f ca="1">тарифікація!S102+тарифікація!T102</f>
        <v>1</v>
      </c>
      <c r="K92" s="562">
        <f ca="1">тарифікація!R102</f>
        <v>6133</v>
      </c>
      <c r="L92" s="563">
        <f ca="1">тарифікація!Z102</f>
        <v>613.30000000000007</v>
      </c>
      <c r="M92" s="563"/>
      <c r="N92" s="563">
        <f ca="1">тарифікація!AA102</f>
        <v>0</v>
      </c>
      <c r="O92" s="562">
        <f ca="1">тарифікація!AB102</f>
        <v>6746.3</v>
      </c>
      <c r="P92" s="563">
        <f t="shared" si="20"/>
        <v>80955.600000000006</v>
      </c>
      <c r="Q92" s="566">
        <f ca="1">тарифікація!AD102</f>
        <v>20000</v>
      </c>
      <c r="R92" s="567">
        <f t="shared" si="21"/>
        <v>240000</v>
      </c>
      <c r="S92" s="566">
        <f t="shared" si="22"/>
        <v>13253.7</v>
      </c>
      <c r="T92" s="567">
        <f t="shared" si="22"/>
        <v>159044.4</v>
      </c>
      <c r="U92" s="567"/>
      <c r="V92" s="567"/>
      <c r="W92" s="567"/>
      <c r="X92" s="548" t="s">
        <v>643</v>
      </c>
      <c r="Y92" s="548" t="s">
        <v>643</v>
      </c>
    </row>
    <row r="93" spans="2:25" s="680" customFormat="1" ht="24.95" customHeight="1">
      <c r="B93" s="676">
        <v>2</v>
      </c>
      <c r="C93" s="677" t="s">
        <v>752</v>
      </c>
      <c r="D93" s="678" t="s">
        <v>656</v>
      </c>
      <c r="E93" s="679">
        <v>20502</v>
      </c>
      <c r="F93" s="679">
        <v>78</v>
      </c>
      <c r="G93" s="688" t="s">
        <v>1249</v>
      </c>
      <c r="H93" s="557"/>
      <c r="I93" s="565" t="str">
        <f ca="1">тарифікація!C103</f>
        <v>Лікар-уролог</v>
      </c>
      <c r="J93" s="556">
        <f ca="1">тарифікація!S103+тарифікація!T103</f>
        <v>0.25</v>
      </c>
      <c r="K93" s="562">
        <f ca="1">тарифікація!R103</f>
        <v>6567</v>
      </c>
      <c r="L93" s="563">
        <f ca="1">тарифікація!Z103</f>
        <v>0</v>
      </c>
      <c r="M93" s="563"/>
      <c r="N93" s="563">
        <f ca="1">тарифікація!AA103</f>
        <v>33.25</v>
      </c>
      <c r="O93" s="562">
        <f ca="1">тарифікація!AB103</f>
        <v>1675</v>
      </c>
      <c r="P93" s="563">
        <f t="shared" si="20"/>
        <v>20100</v>
      </c>
      <c r="Q93" s="566">
        <f ca="1">тарифікація!AD103</f>
        <v>5000</v>
      </c>
      <c r="R93" s="567">
        <f t="shared" si="21"/>
        <v>60000</v>
      </c>
      <c r="S93" s="566">
        <f t="shared" si="22"/>
        <v>3325</v>
      </c>
      <c r="T93" s="567">
        <f t="shared" si="22"/>
        <v>39900</v>
      </c>
      <c r="U93" s="567"/>
      <c r="V93" s="567"/>
      <c r="W93" s="567"/>
      <c r="X93" s="548" t="s">
        <v>643</v>
      </c>
      <c r="Y93" s="548" t="s">
        <v>643</v>
      </c>
    </row>
    <row r="94" spans="2:25" s="680" customFormat="1" ht="24.95" customHeight="1">
      <c r="B94" s="676">
        <v>2</v>
      </c>
      <c r="C94" s="677" t="s">
        <v>752</v>
      </c>
      <c r="D94" s="678" t="s">
        <v>656</v>
      </c>
      <c r="E94" s="679">
        <v>20517</v>
      </c>
      <c r="F94" s="679">
        <v>78</v>
      </c>
      <c r="G94" s="688" t="s">
        <v>1250</v>
      </c>
      <c r="H94" s="557"/>
      <c r="I94" s="565" t="str">
        <f ca="1">тарифікація!C104</f>
        <v>Лікар-хірург</v>
      </c>
      <c r="J94" s="556">
        <f ca="1">тарифікація!S104+тарифікація!T104</f>
        <v>1</v>
      </c>
      <c r="K94" s="562">
        <f ca="1">тарифікація!R104</f>
        <v>7552.05</v>
      </c>
      <c r="L94" s="563">
        <f ca="1">тарифікація!Z104</f>
        <v>2265.6149999999998</v>
      </c>
      <c r="M94" s="563"/>
      <c r="N94" s="563">
        <f ca="1">тарифікація!AA104</f>
        <v>0</v>
      </c>
      <c r="O94" s="562">
        <f ca="1">тарифікація!AB104</f>
        <v>9817.6650000000009</v>
      </c>
      <c r="P94" s="563">
        <f t="shared" si="20"/>
        <v>117811.98000000001</v>
      </c>
      <c r="Q94" s="566">
        <f ca="1">тарифікація!AD104</f>
        <v>20000</v>
      </c>
      <c r="R94" s="567">
        <f t="shared" si="21"/>
        <v>240000</v>
      </c>
      <c r="S94" s="566">
        <f>Q94-O94</f>
        <v>10182.334999999999</v>
      </c>
      <c r="T94" s="567">
        <f>R94-P94</f>
        <v>122188.01999999999</v>
      </c>
      <c r="U94" s="567"/>
      <c r="V94" s="567"/>
      <c r="W94" s="567"/>
      <c r="X94" s="548" t="s">
        <v>643</v>
      </c>
      <c r="Y94" s="548" t="s">
        <v>643</v>
      </c>
    </row>
    <row r="95" spans="2:25" s="680" customFormat="1" ht="24.95" customHeight="1">
      <c r="B95" s="676"/>
      <c r="C95" s="677"/>
      <c r="D95" s="668"/>
      <c r="E95" s="668"/>
      <c r="F95" s="668"/>
      <c r="G95" s="682"/>
      <c r="H95" s="557"/>
      <c r="I95" s="568" t="s">
        <v>653</v>
      </c>
      <c r="J95" s="558">
        <f ca="1">SUM(J77:J94)</f>
        <v>15.25</v>
      </c>
      <c r="K95" s="569"/>
      <c r="L95" s="569">
        <f t="shared" ref="L95:T95" si="23">SUM(L77:L94)</f>
        <v>22824.03</v>
      </c>
      <c r="M95" s="569">
        <f t="shared" si="23"/>
        <v>0</v>
      </c>
      <c r="N95" s="569">
        <f t="shared" si="23"/>
        <v>2933.0812499999993</v>
      </c>
      <c r="O95" s="569">
        <f t="shared" si="23"/>
        <v>129396.4725</v>
      </c>
      <c r="P95" s="581">
        <f t="shared" si="23"/>
        <v>1552757.67</v>
      </c>
      <c r="Q95" s="570">
        <f t="shared" si="23"/>
        <v>305000</v>
      </c>
      <c r="R95" s="582">
        <f t="shared" si="23"/>
        <v>3660000</v>
      </c>
      <c r="S95" s="570">
        <f t="shared" si="23"/>
        <v>175603.5275</v>
      </c>
      <c r="T95" s="582">
        <f t="shared" si="23"/>
        <v>2107242.33</v>
      </c>
      <c r="U95" s="582"/>
      <c r="V95" s="582"/>
      <c r="W95" s="582"/>
      <c r="X95" s="579"/>
      <c r="Y95" s="579"/>
    </row>
    <row r="96" spans="2:25" s="680" customFormat="1" ht="24.95" customHeight="1">
      <c r="B96" s="676"/>
      <c r="C96" s="677"/>
      <c r="D96" s="670"/>
      <c r="E96" s="671"/>
      <c r="F96" s="670"/>
      <c r="G96" s="683"/>
      <c r="H96" s="557"/>
      <c r="I96" s="613" t="s">
        <v>658</v>
      </c>
      <c r="J96" s="558"/>
      <c r="K96" s="558"/>
      <c r="L96" s="558"/>
      <c r="M96" s="558"/>
      <c r="N96" s="558"/>
      <c r="O96" s="558"/>
      <c r="P96" s="558"/>
      <c r="Q96" s="572"/>
      <c r="R96" s="572"/>
      <c r="S96" s="572"/>
      <c r="T96" s="572"/>
      <c r="U96" s="572"/>
      <c r="V96" s="572"/>
      <c r="W96" s="572"/>
      <c r="X96" s="548"/>
      <c r="Y96" s="548"/>
    </row>
    <row r="97" spans="2:25" s="680" customFormat="1" ht="24.95" customHeight="1">
      <c r="B97" s="676">
        <v>3</v>
      </c>
      <c r="C97" s="677" t="s">
        <v>751</v>
      </c>
      <c r="D97" s="678">
        <v>3232</v>
      </c>
      <c r="E97" s="679">
        <v>20086</v>
      </c>
      <c r="F97" s="679">
        <v>78</v>
      </c>
      <c r="G97" s="688" t="s">
        <v>723</v>
      </c>
      <c r="H97" s="557"/>
      <c r="I97" s="583" t="str">
        <f ca="1">тарифікація!C107</f>
        <v>Акушерка (акушер)</v>
      </c>
      <c r="J97" s="556">
        <f ca="1">тарифікація!S107+тарифікація!T107</f>
        <v>1</v>
      </c>
      <c r="K97" s="562">
        <f ca="1">тарифікація!R107</f>
        <v>4745</v>
      </c>
      <c r="L97" s="563">
        <f ca="1">тарифікація!Z107</f>
        <v>949</v>
      </c>
      <c r="M97" s="563"/>
      <c r="N97" s="563">
        <f ca="1">тарифікація!AA107</f>
        <v>1006</v>
      </c>
      <c r="O97" s="562">
        <f ca="1">тарифікація!AB107</f>
        <v>6700</v>
      </c>
      <c r="P97" s="563">
        <f ca="1">O97*12</f>
        <v>80400</v>
      </c>
      <c r="Q97" s="566">
        <f ca="1">тарифікація!AD107</f>
        <v>13500</v>
      </c>
      <c r="R97" s="567">
        <f>Q97*12</f>
        <v>162000</v>
      </c>
      <c r="S97" s="566">
        <f>Q97-O97</f>
        <v>6800</v>
      </c>
      <c r="T97" s="567">
        <f>R97-P97</f>
        <v>81600</v>
      </c>
      <c r="U97" s="567"/>
      <c r="V97" s="567"/>
      <c r="W97" s="567"/>
      <c r="X97" s="548" t="s">
        <v>655</v>
      </c>
      <c r="Y97" s="548" t="s">
        <v>655</v>
      </c>
    </row>
    <row r="98" spans="2:25" s="680" customFormat="1" ht="24.95" customHeight="1">
      <c r="B98" s="676">
        <v>3</v>
      </c>
      <c r="C98" s="677" t="s">
        <v>751</v>
      </c>
      <c r="D98" s="678">
        <v>3232</v>
      </c>
      <c r="E98" s="679">
        <v>20086</v>
      </c>
      <c r="F98" s="679">
        <v>78</v>
      </c>
      <c r="G98" s="688" t="s">
        <v>723</v>
      </c>
      <c r="H98" s="557"/>
      <c r="I98" s="583" t="str">
        <f ca="1">тарифікація!C108</f>
        <v>Акушерка (акушер)</v>
      </c>
      <c r="J98" s="556">
        <f ca="1">тарифікація!S108+тарифікація!T108</f>
        <v>1</v>
      </c>
      <c r="K98" s="562">
        <f ca="1">тарифікація!R108</f>
        <v>4745</v>
      </c>
      <c r="L98" s="563">
        <f ca="1">тарифікація!Z108</f>
        <v>0</v>
      </c>
      <c r="M98" s="563"/>
      <c r="N98" s="563">
        <f ca="1">тарифікація!AA108</f>
        <v>1955</v>
      </c>
      <c r="O98" s="562">
        <f ca="1">тарифікація!AB108</f>
        <v>6700</v>
      </c>
      <c r="P98" s="563">
        <f t="shared" ref="P98:P107" si="24">O98*12</f>
        <v>80400</v>
      </c>
      <c r="Q98" s="566">
        <f ca="1">тарифікація!AD108</f>
        <v>13500</v>
      </c>
      <c r="R98" s="567">
        <f t="shared" ref="R98:R107" si="25">Q98*12</f>
        <v>162000</v>
      </c>
      <c r="S98" s="566">
        <f t="shared" ref="S98:S107" si="26">Q98-O98</f>
        <v>6800</v>
      </c>
      <c r="T98" s="567">
        <f t="shared" ref="T98:T107" si="27">R98-P98</f>
        <v>81600</v>
      </c>
      <c r="U98" s="567"/>
      <c r="V98" s="567"/>
      <c r="W98" s="567"/>
      <c r="X98" s="548" t="s">
        <v>655</v>
      </c>
      <c r="Y98" s="548" t="s">
        <v>655</v>
      </c>
    </row>
    <row r="99" spans="2:25" s="680" customFormat="1" ht="24.95" customHeight="1">
      <c r="B99" s="676">
        <v>3</v>
      </c>
      <c r="C99" s="677" t="s">
        <v>751</v>
      </c>
      <c r="D99" s="678">
        <v>3231</v>
      </c>
      <c r="E99" s="679" t="s">
        <v>500</v>
      </c>
      <c r="F99" s="679">
        <v>78</v>
      </c>
      <c r="G99" s="688" t="s">
        <v>724</v>
      </c>
      <c r="H99" s="557"/>
      <c r="I99" s="583" t="str">
        <f ca="1">тарифікація!C109</f>
        <v xml:space="preserve">Сестра медична (брат медичний ) поліклініки </v>
      </c>
      <c r="J99" s="556">
        <f ca="1">тарифікація!S109+тарифікація!T109</f>
        <v>1</v>
      </c>
      <c r="K99" s="562">
        <f ca="1">тарифікація!R109</f>
        <v>4195</v>
      </c>
      <c r="L99" s="563">
        <f ca="1">тарифікація!Z109</f>
        <v>419.5</v>
      </c>
      <c r="M99" s="563"/>
      <c r="N99" s="563">
        <f ca="1">тарифікація!AA109</f>
        <v>2085.5</v>
      </c>
      <c r="O99" s="562">
        <f ca="1">тарифікація!AB109</f>
        <v>6700</v>
      </c>
      <c r="P99" s="563">
        <f t="shared" si="24"/>
        <v>80400</v>
      </c>
      <c r="Q99" s="566">
        <f ca="1">тарифікація!AD109</f>
        <v>13500</v>
      </c>
      <c r="R99" s="567">
        <f t="shared" si="25"/>
        <v>162000</v>
      </c>
      <c r="S99" s="566">
        <f t="shared" si="26"/>
        <v>6800</v>
      </c>
      <c r="T99" s="567">
        <f t="shared" si="27"/>
        <v>81600</v>
      </c>
      <c r="U99" s="567"/>
      <c r="V99" s="567"/>
      <c r="W99" s="567"/>
      <c r="X99" s="548" t="s">
        <v>655</v>
      </c>
      <c r="Y99" s="548" t="s">
        <v>655</v>
      </c>
    </row>
    <row r="100" spans="2:25" s="680" customFormat="1" ht="24.95" customHeight="1">
      <c r="B100" s="676">
        <v>3</v>
      </c>
      <c r="C100" s="677" t="s">
        <v>751</v>
      </c>
      <c r="D100" s="678">
        <v>3231</v>
      </c>
      <c r="E100" s="679" t="s">
        <v>500</v>
      </c>
      <c r="F100" s="679">
        <v>78</v>
      </c>
      <c r="G100" s="688" t="s">
        <v>724</v>
      </c>
      <c r="H100" s="557"/>
      <c r="I100" s="583" t="str">
        <f ca="1">тарифікація!C110</f>
        <v xml:space="preserve">Сестра медична (брат медичний ) поліклініки </v>
      </c>
      <c r="J100" s="556">
        <f ca="1">тарифікація!S110+тарифікація!T110</f>
        <v>1</v>
      </c>
      <c r="K100" s="562">
        <f ca="1">тарифікація!R110</f>
        <v>5005</v>
      </c>
      <c r="L100" s="563">
        <f ca="1">тарифікація!Z110</f>
        <v>1501.5</v>
      </c>
      <c r="M100" s="563"/>
      <c r="N100" s="563">
        <f ca="1">тарифікація!AA110</f>
        <v>193.5</v>
      </c>
      <c r="O100" s="562">
        <f ca="1">тарифікація!AB110</f>
        <v>6700</v>
      </c>
      <c r="P100" s="563">
        <f t="shared" si="24"/>
        <v>80400</v>
      </c>
      <c r="Q100" s="566">
        <f ca="1">тарифікація!AD110</f>
        <v>13500</v>
      </c>
      <c r="R100" s="567">
        <f t="shared" si="25"/>
        <v>162000</v>
      </c>
      <c r="S100" s="566">
        <f t="shared" si="26"/>
        <v>6800</v>
      </c>
      <c r="T100" s="567">
        <f t="shared" si="27"/>
        <v>81600</v>
      </c>
      <c r="U100" s="567"/>
      <c r="V100" s="567"/>
      <c r="W100" s="567"/>
      <c r="X100" s="548" t="s">
        <v>655</v>
      </c>
      <c r="Y100" s="548" t="s">
        <v>655</v>
      </c>
    </row>
    <row r="101" spans="2:25" s="680" customFormat="1" ht="24.95" customHeight="1">
      <c r="B101" s="676">
        <v>3</v>
      </c>
      <c r="C101" s="677" t="s">
        <v>751</v>
      </c>
      <c r="D101" s="678">
        <v>3231</v>
      </c>
      <c r="E101" s="679" t="s">
        <v>500</v>
      </c>
      <c r="F101" s="679">
        <v>78</v>
      </c>
      <c r="G101" s="688" t="s">
        <v>724</v>
      </c>
      <c r="H101" s="557"/>
      <c r="I101" s="583" t="str">
        <f ca="1">тарифікація!C111</f>
        <v xml:space="preserve">Сестра медична (брат медичний ) поліклініки </v>
      </c>
      <c r="J101" s="556">
        <f ca="1">тарифікація!S111+тарифікація!T111</f>
        <v>1</v>
      </c>
      <c r="K101" s="562">
        <f ca="1">тарифікація!R111</f>
        <v>5005</v>
      </c>
      <c r="L101" s="563">
        <f ca="1">тарифікація!Z111</f>
        <v>1501.5</v>
      </c>
      <c r="M101" s="563"/>
      <c r="N101" s="563">
        <f ca="1">тарифікація!AA111</f>
        <v>193.5</v>
      </c>
      <c r="O101" s="562">
        <f ca="1">тарифікація!AB111</f>
        <v>6700</v>
      </c>
      <c r="P101" s="563">
        <f t="shared" si="24"/>
        <v>80400</v>
      </c>
      <c r="Q101" s="566">
        <f ca="1">тарифікація!AD111</f>
        <v>13500</v>
      </c>
      <c r="R101" s="567">
        <f t="shared" si="25"/>
        <v>162000</v>
      </c>
      <c r="S101" s="566">
        <f t="shared" si="26"/>
        <v>6800</v>
      </c>
      <c r="T101" s="567">
        <f t="shared" si="27"/>
        <v>81600</v>
      </c>
      <c r="U101" s="567"/>
      <c r="V101" s="567"/>
      <c r="W101" s="567"/>
      <c r="X101" s="548" t="s">
        <v>655</v>
      </c>
      <c r="Y101" s="548" t="s">
        <v>655</v>
      </c>
    </row>
    <row r="102" spans="2:25" s="680" customFormat="1" ht="24.95" customHeight="1">
      <c r="B102" s="676">
        <v>3</v>
      </c>
      <c r="C102" s="677" t="s">
        <v>751</v>
      </c>
      <c r="D102" s="678">
        <v>3231</v>
      </c>
      <c r="E102" s="679" t="s">
        <v>500</v>
      </c>
      <c r="F102" s="679">
        <v>78</v>
      </c>
      <c r="G102" s="688" t="s">
        <v>724</v>
      </c>
      <c r="H102" s="557"/>
      <c r="I102" s="583" t="str">
        <f ca="1">тарифікація!C112</f>
        <v xml:space="preserve">Сестра медична (брат медичний ) поліклініки </v>
      </c>
      <c r="J102" s="556">
        <f ca="1">тарифікація!S112+тарифікація!T112</f>
        <v>1</v>
      </c>
      <c r="K102" s="562">
        <f ca="1">тарифікація!R112</f>
        <v>5005</v>
      </c>
      <c r="L102" s="563">
        <f ca="1">тарифікація!Z112</f>
        <v>1501.5</v>
      </c>
      <c r="M102" s="563"/>
      <c r="N102" s="563">
        <f ca="1">тарифікація!AA112</f>
        <v>193.5</v>
      </c>
      <c r="O102" s="562">
        <f ca="1">тарифікація!AB112</f>
        <v>6700</v>
      </c>
      <c r="P102" s="563">
        <f t="shared" si="24"/>
        <v>80400</v>
      </c>
      <c r="Q102" s="566">
        <f ca="1">тарифікація!AD112</f>
        <v>13500</v>
      </c>
      <c r="R102" s="567">
        <f t="shared" si="25"/>
        <v>162000</v>
      </c>
      <c r="S102" s="566">
        <f t="shared" si="26"/>
        <v>6800</v>
      </c>
      <c r="T102" s="567">
        <f t="shared" si="27"/>
        <v>81600</v>
      </c>
      <c r="U102" s="567"/>
      <c r="V102" s="567"/>
      <c r="W102" s="567"/>
      <c r="X102" s="548" t="s">
        <v>655</v>
      </c>
      <c r="Y102" s="548" t="s">
        <v>655</v>
      </c>
    </row>
    <row r="103" spans="2:25" s="680" customFormat="1" ht="24.95" customHeight="1">
      <c r="B103" s="676">
        <v>3</v>
      </c>
      <c r="C103" s="677" t="s">
        <v>751</v>
      </c>
      <c r="D103" s="678">
        <v>3231</v>
      </c>
      <c r="E103" s="679" t="s">
        <v>500</v>
      </c>
      <c r="F103" s="679">
        <v>78</v>
      </c>
      <c r="G103" s="688" t="s">
        <v>724</v>
      </c>
      <c r="H103" s="557"/>
      <c r="I103" s="583" t="str">
        <f ca="1">тарифікація!C113</f>
        <v xml:space="preserve">Сестра медична (брат медичний ) поліклініки </v>
      </c>
      <c r="J103" s="556">
        <f ca="1">тарифікація!S113+тарифікація!T113</f>
        <v>1</v>
      </c>
      <c r="K103" s="562">
        <f ca="1">тарифікація!R113</f>
        <v>5005</v>
      </c>
      <c r="L103" s="563">
        <f ca="1">тарифікація!Z113</f>
        <v>1501.5</v>
      </c>
      <c r="M103" s="563"/>
      <c r="N103" s="563">
        <f ca="1">тарифікація!AA113</f>
        <v>193.5</v>
      </c>
      <c r="O103" s="562">
        <f ca="1">тарифікація!AB113</f>
        <v>6700</v>
      </c>
      <c r="P103" s="563">
        <f t="shared" si="24"/>
        <v>80400</v>
      </c>
      <c r="Q103" s="566">
        <f ca="1">тарифікація!AD113</f>
        <v>13500</v>
      </c>
      <c r="R103" s="567">
        <f t="shared" si="25"/>
        <v>162000</v>
      </c>
      <c r="S103" s="566">
        <f t="shared" si="26"/>
        <v>6800</v>
      </c>
      <c r="T103" s="567">
        <f t="shared" si="27"/>
        <v>81600</v>
      </c>
      <c r="U103" s="567"/>
      <c r="V103" s="567"/>
      <c r="W103" s="567"/>
      <c r="X103" s="548" t="s">
        <v>655</v>
      </c>
      <c r="Y103" s="548" t="s">
        <v>655</v>
      </c>
    </row>
    <row r="104" spans="2:25" s="680" customFormat="1" ht="24.95" customHeight="1">
      <c r="B104" s="676">
        <v>3</v>
      </c>
      <c r="C104" s="677" t="s">
        <v>751</v>
      </c>
      <c r="D104" s="678">
        <v>3231</v>
      </c>
      <c r="E104" s="679" t="s">
        <v>500</v>
      </c>
      <c r="F104" s="679">
        <v>78</v>
      </c>
      <c r="G104" s="688" t="s">
        <v>724</v>
      </c>
      <c r="H104" s="557"/>
      <c r="I104" s="583" t="str">
        <f ca="1">тарифікація!C114</f>
        <v xml:space="preserve">Сестра медична (брат медичний ) поліклініки </v>
      </c>
      <c r="J104" s="556">
        <f ca="1">тарифікація!S114+тарифікація!T114</f>
        <v>1</v>
      </c>
      <c r="K104" s="562">
        <f ca="1">тарифікація!R114</f>
        <v>5005</v>
      </c>
      <c r="L104" s="563">
        <f ca="1">тарифікація!Z114</f>
        <v>1501.5</v>
      </c>
      <c r="M104" s="563"/>
      <c r="N104" s="563">
        <f ca="1">тарифікація!AA114</f>
        <v>193.5</v>
      </c>
      <c r="O104" s="562">
        <f ca="1">тарифікація!AB114</f>
        <v>6700</v>
      </c>
      <c r="P104" s="563">
        <f t="shared" si="24"/>
        <v>80400</v>
      </c>
      <c r="Q104" s="566">
        <f ca="1">тарифікація!AD114</f>
        <v>13500</v>
      </c>
      <c r="R104" s="567">
        <f t="shared" si="25"/>
        <v>162000</v>
      </c>
      <c r="S104" s="566">
        <f t="shared" si="26"/>
        <v>6800</v>
      </c>
      <c r="T104" s="567">
        <f t="shared" si="27"/>
        <v>81600</v>
      </c>
      <c r="U104" s="567"/>
      <c r="V104" s="567"/>
      <c r="W104" s="567"/>
      <c r="X104" s="548" t="s">
        <v>655</v>
      </c>
      <c r="Y104" s="548" t="s">
        <v>655</v>
      </c>
    </row>
    <row r="105" spans="2:25" s="680" customFormat="1" ht="24.95" customHeight="1">
      <c r="B105" s="676">
        <v>3</v>
      </c>
      <c r="C105" s="677" t="s">
        <v>751</v>
      </c>
      <c r="D105" s="678">
        <v>3231</v>
      </c>
      <c r="E105" s="679" t="s">
        <v>500</v>
      </c>
      <c r="F105" s="679">
        <v>78</v>
      </c>
      <c r="G105" s="688" t="s">
        <v>724</v>
      </c>
      <c r="H105" s="557"/>
      <c r="I105" s="583" t="str">
        <f ca="1">тарифікація!C115</f>
        <v xml:space="preserve">Сестра медична (брат медичний ) поліклініки </v>
      </c>
      <c r="J105" s="556">
        <f ca="1">тарифікація!S115+тарифікація!T115</f>
        <v>1</v>
      </c>
      <c r="K105" s="562">
        <f ca="1">тарифікація!R115</f>
        <v>5005</v>
      </c>
      <c r="L105" s="563">
        <f ca="1">тарифікація!Z115</f>
        <v>1501.5</v>
      </c>
      <c r="M105" s="563"/>
      <c r="N105" s="563">
        <f ca="1">тарифікація!AA115</f>
        <v>193.5</v>
      </c>
      <c r="O105" s="562">
        <f ca="1">тарифікація!AB115</f>
        <v>6700</v>
      </c>
      <c r="P105" s="563">
        <f t="shared" si="24"/>
        <v>80400</v>
      </c>
      <c r="Q105" s="566">
        <f ca="1">тарифікація!AD115</f>
        <v>13500</v>
      </c>
      <c r="R105" s="567">
        <f t="shared" si="25"/>
        <v>162000</v>
      </c>
      <c r="S105" s="566">
        <f t="shared" si="26"/>
        <v>6800</v>
      </c>
      <c r="T105" s="567">
        <f t="shared" si="27"/>
        <v>81600</v>
      </c>
      <c r="U105" s="567"/>
      <c r="V105" s="567"/>
      <c r="W105" s="567"/>
      <c r="X105" s="548" t="s">
        <v>655</v>
      </c>
      <c r="Y105" s="548" t="s">
        <v>655</v>
      </c>
    </row>
    <row r="106" spans="2:25" s="680" customFormat="1" ht="24.95" customHeight="1">
      <c r="B106" s="676">
        <v>3</v>
      </c>
      <c r="C106" s="677" t="s">
        <v>751</v>
      </c>
      <c r="D106" s="678">
        <v>3231</v>
      </c>
      <c r="E106" s="679" t="s">
        <v>500</v>
      </c>
      <c r="F106" s="679">
        <v>78</v>
      </c>
      <c r="G106" s="688" t="s">
        <v>724</v>
      </c>
      <c r="H106" s="557"/>
      <c r="I106" s="583" t="str">
        <f ca="1">тарифікація!C116</f>
        <v xml:space="preserve">Сестра медична (брат медичний ) поліклініки </v>
      </c>
      <c r="J106" s="556">
        <f ca="1">тарифікація!S116+тарифікація!T116</f>
        <v>1</v>
      </c>
      <c r="K106" s="562">
        <f ca="1">тарифікація!R116</f>
        <v>4745</v>
      </c>
      <c r="L106" s="563">
        <f ca="1">тарифікація!Z116</f>
        <v>474.5</v>
      </c>
      <c r="M106" s="563"/>
      <c r="N106" s="563">
        <f ca="1">тарифікація!AA116</f>
        <v>1480.5</v>
      </c>
      <c r="O106" s="562">
        <f ca="1">тарифікація!AB116</f>
        <v>6700</v>
      </c>
      <c r="P106" s="563">
        <f t="shared" si="24"/>
        <v>80400</v>
      </c>
      <c r="Q106" s="566">
        <f ca="1">тарифікація!AD116</f>
        <v>13500</v>
      </c>
      <c r="R106" s="567">
        <f t="shared" si="25"/>
        <v>162000</v>
      </c>
      <c r="S106" s="566">
        <f t="shared" si="26"/>
        <v>6800</v>
      </c>
      <c r="T106" s="567">
        <f t="shared" si="27"/>
        <v>81600</v>
      </c>
      <c r="U106" s="567"/>
      <c r="V106" s="567"/>
      <c r="W106" s="567"/>
      <c r="X106" s="548" t="s">
        <v>655</v>
      </c>
      <c r="Y106" s="548" t="s">
        <v>655</v>
      </c>
    </row>
    <row r="107" spans="2:25" s="680" customFormat="1" ht="24.95" customHeight="1">
      <c r="B107" s="676">
        <v>3</v>
      </c>
      <c r="C107" s="677" t="s">
        <v>751</v>
      </c>
      <c r="D107" s="678">
        <v>3231</v>
      </c>
      <c r="E107" s="679" t="s">
        <v>500</v>
      </c>
      <c r="F107" s="679">
        <v>78</v>
      </c>
      <c r="G107" s="688" t="s">
        <v>724</v>
      </c>
      <c r="H107" s="557"/>
      <c r="I107" s="583" t="str">
        <f ca="1">тарифікація!C116</f>
        <v xml:space="preserve">Сестра медична (брат медичний ) поліклініки </v>
      </c>
      <c r="J107" s="556">
        <f ca="1">тарифікація!S117+тарифікація!T117</f>
        <v>1</v>
      </c>
      <c r="K107" s="562">
        <f ca="1">тарифікація!R117</f>
        <v>6256.25</v>
      </c>
      <c r="L107" s="563">
        <f ca="1">тарифікація!Z117</f>
        <v>1876.875</v>
      </c>
      <c r="M107" s="563"/>
      <c r="N107" s="563">
        <f ca="1">тарифікація!AA117</f>
        <v>0</v>
      </c>
      <c r="O107" s="562">
        <f ca="1">тарифікація!AB117</f>
        <v>8133.125</v>
      </c>
      <c r="P107" s="563">
        <f t="shared" si="24"/>
        <v>97597.5</v>
      </c>
      <c r="Q107" s="566">
        <f ca="1">тарифікація!AD117</f>
        <v>13500</v>
      </c>
      <c r="R107" s="567">
        <f t="shared" si="25"/>
        <v>162000</v>
      </c>
      <c r="S107" s="566">
        <f t="shared" si="26"/>
        <v>5366.875</v>
      </c>
      <c r="T107" s="567">
        <f t="shared" si="27"/>
        <v>64402.5</v>
      </c>
      <c r="U107" s="567"/>
      <c r="V107" s="567"/>
      <c r="W107" s="567"/>
      <c r="X107" s="548" t="s">
        <v>655</v>
      </c>
      <c r="Y107" s="548" t="s">
        <v>655</v>
      </c>
    </row>
    <row r="108" spans="2:25" s="680" customFormat="1" ht="24.95" customHeight="1">
      <c r="B108" s="668"/>
      <c r="C108" s="668"/>
      <c r="D108" s="668"/>
      <c r="E108" s="668"/>
      <c r="F108" s="668"/>
      <c r="G108" s="682"/>
      <c r="H108" s="557"/>
      <c r="I108" s="568" t="s">
        <v>653</v>
      </c>
      <c r="J108" s="558">
        <f>SUM(J97:J107)</f>
        <v>11</v>
      </c>
      <c r="K108" s="581"/>
      <c r="L108" s="569">
        <f t="shared" ref="L108:T108" si="28">SUM(L97:L107)</f>
        <v>12728.875</v>
      </c>
      <c r="M108" s="569">
        <f t="shared" si="28"/>
        <v>0</v>
      </c>
      <c r="N108" s="569">
        <f t="shared" si="28"/>
        <v>7688</v>
      </c>
      <c r="O108" s="569">
        <f t="shared" si="28"/>
        <v>75133.125</v>
      </c>
      <c r="P108" s="581">
        <f t="shared" si="28"/>
        <v>901597.5</v>
      </c>
      <c r="Q108" s="570">
        <f t="shared" si="28"/>
        <v>148500</v>
      </c>
      <c r="R108" s="582">
        <f t="shared" si="28"/>
        <v>1782000</v>
      </c>
      <c r="S108" s="570">
        <f t="shared" si="28"/>
        <v>73366.875</v>
      </c>
      <c r="T108" s="582">
        <f t="shared" si="28"/>
        <v>880402.5</v>
      </c>
      <c r="U108" s="582"/>
      <c r="V108" s="582"/>
      <c r="W108" s="582"/>
      <c r="X108" s="578"/>
      <c r="Y108" s="578"/>
    </row>
    <row r="109" spans="2:25" s="680" customFormat="1" ht="24.95" customHeight="1">
      <c r="B109" s="668"/>
      <c r="C109" s="668"/>
      <c r="D109" s="668"/>
      <c r="E109" s="668"/>
      <c r="F109" s="668"/>
      <c r="G109" s="682"/>
      <c r="H109" s="557"/>
      <c r="I109" s="568"/>
      <c r="J109" s="558">
        <f>J95+J108</f>
        <v>26.25</v>
      </c>
      <c r="K109" s="569">
        <f t="shared" ref="K109:T109" si="29">K95+K108</f>
        <v>0</v>
      </c>
      <c r="L109" s="569">
        <f t="shared" si="29"/>
        <v>35552.904999999999</v>
      </c>
      <c r="M109" s="569">
        <f t="shared" si="29"/>
        <v>0</v>
      </c>
      <c r="N109" s="569">
        <f t="shared" si="29"/>
        <v>10621.081249999999</v>
      </c>
      <c r="O109" s="569">
        <f t="shared" si="29"/>
        <v>204529.5975</v>
      </c>
      <c r="P109" s="569">
        <f t="shared" si="29"/>
        <v>2454355.17</v>
      </c>
      <c r="Q109" s="569">
        <f t="shared" si="29"/>
        <v>453500</v>
      </c>
      <c r="R109" s="569">
        <f t="shared" si="29"/>
        <v>5442000</v>
      </c>
      <c r="S109" s="569">
        <f t="shared" si="29"/>
        <v>248970.4025</v>
      </c>
      <c r="T109" s="569">
        <f t="shared" si="29"/>
        <v>2987644.83</v>
      </c>
      <c r="U109" s="582"/>
      <c r="V109" s="582"/>
      <c r="W109" s="582"/>
      <c r="X109" s="578"/>
      <c r="Y109" s="578"/>
    </row>
    <row r="110" spans="2:25" s="680" customFormat="1" ht="24.95" customHeight="1">
      <c r="B110" s="671"/>
      <c r="C110" s="671"/>
      <c r="D110" s="670"/>
      <c r="E110" s="671"/>
      <c r="F110" s="670"/>
      <c r="G110" s="683"/>
      <c r="H110" s="557"/>
      <c r="I110" s="558" t="s">
        <v>659</v>
      </c>
      <c r="J110" s="558"/>
      <c r="K110" s="558"/>
      <c r="L110" s="558"/>
      <c r="M110" s="558"/>
      <c r="N110" s="558"/>
      <c r="O110" s="558"/>
      <c r="P110" s="558"/>
      <c r="Q110" s="572"/>
      <c r="R110" s="572"/>
      <c r="S110" s="572"/>
      <c r="T110" s="572"/>
      <c r="U110" s="572"/>
      <c r="V110" s="572"/>
      <c r="W110" s="572"/>
      <c r="X110" s="548"/>
      <c r="Y110" s="548"/>
    </row>
    <row r="111" spans="2:25" s="680" customFormat="1" ht="24.95" customHeight="1">
      <c r="B111" s="671"/>
      <c r="C111" s="671"/>
      <c r="D111" s="670"/>
      <c r="E111" s="671"/>
      <c r="F111" s="670"/>
      <c r="G111" s="683"/>
      <c r="H111" s="557"/>
      <c r="I111" s="724" t="s">
        <v>660</v>
      </c>
      <c r="J111" s="724"/>
      <c r="K111" s="724"/>
      <c r="L111" s="724"/>
      <c r="M111" s="724"/>
      <c r="N111" s="724"/>
      <c r="O111" s="724"/>
      <c r="P111" s="724"/>
      <c r="Q111" s="923"/>
      <c r="R111" s="923"/>
      <c r="S111" s="923"/>
      <c r="T111" s="923"/>
      <c r="U111" s="923"/>
      <c r="V111" s="923"/>
      <c r="W111" s="923"/>
      <c r="X111" s="548"/>
      <c r="Y111" s="548"/>
    </row>
    <row r="112" spans="2:25" s="680" customFormat="1" ht="24.95" customHeight="1">
      <c r="B112" s="676">
        <v>1</v>
      </c>
      <c r="C112" s="677" t="s">
        <v>750</v>
      </c>
      <c r="D112" s="678" t="s">
        <v>654</v>
      </c>
      <c r="E112" s="679"/>
      <c r="F112" s="679">
        <v>78</v>
      </c>
      <c r="G112" s="688" t="s">
        <v>725</v>
      </c>
      <c r="H112" s="557"/>
      <c r="I112" s="564" t="s">
        <v>1257</v>
      </c>
      <c r="J112" s="556">
        <f ca="1">тарифікація!S123+тарифікація!T123</f>
        <v>1</v>
      </c>
      <c r="K112" s="563">
        <f ca="1">тарифікація!R123</f>
        <v>11761.68</v>
      </c>
      <c r="L112" s="563">
        <f ca="1">тарифікація!Z123</f>
        <v>3528.5039999999999</v>
      </c>
      <c r="M112" s="563"/>
      <c r="N112" s="563"/>
      <c r="O112" s="562">
        <f ca="1">тарифікація!AB123</f>
        <v>15290.184000000001</v>
      </c>
      <c r="P112" s="563">
        <f t="shared" ref="P112:P119" si="30">O112*12</f>
        <v>183482.20800000001</v>
      </c>
      <c r="Q112" s="566">
        <f ca="1">тарифікація!AD123</f>
        <v>20000</v>
      </c>
      <c r="R112" s="567">
        <f t="shared" ref="R112:R119" si="31">Q112*12</f>
        <v>240000</v>
      </c>
      <c r="S112" s="566">
        <f>Q112-O112</f>
        <v>4709.8159999999989</v>
      </c>
      <c r="T112" s="567">
        <f>R112-P112</f>
        <v>56517.791999999987</v>
      </c>
      <c r="U112" s="567"/>
      <c r="V112" s="567"/>
      <c r="W112" s="567"/>
      <c r="X112" s="548" t="s">
        <v>643</v>
      </c>
      <c r="Y112" s="551" t="s">
        <v>645</v>
      </c>
    </row>
    <row r="113" spans="2:25" s="680" customFormat="1" ht="24.95" customHeight="1">
      <c r="B113" s="676">
        <v>2</v>
      </c>
      <c r="C113" s="677" t="s">
        <v>752</v>
      </c>
      <c r="D113" s="678" t="s">
        <v>656</v>
      </c>
      <c r="E113" s="679">
        <v>20314</v>
      </c>
      <c r="F113" s="679">
        <v>78</v>
      </c>
      <c r="G113" s="688" t="s">
        <v>718</v>
      </c>
      <c r="H113" s="557"/>
      <c r="I113" s="565" t="s">
        <v>508</v>
      </c>
      <c r="J113" s="556">
        <f ca="1">тарифікація!S124+тарифікація!T124+тарифікація!S125+тарифікація!T125+тарифікація!S126+тарифікація!T126</f>
        <v>3</v>
      </c>
      <c r="K113" s="563">
        <f ca="1">тарифікація!R124+тарифікація!R125+тарифікація!R126</f>
        <v>22078.799999999999</v>
      </c>
      <c r="L113" s="563">
        <f ca="1">тарифікація!Z124+тарифікація!Z125+тарифікація!Z126</f>
        <v>3204.2400000000002</v>
      </c>
      <c r="M113" s="563"/>
      <c r="N113" s="563"/>
      <c r="O113" s="562">
        <f ca="1">тарифікація!AB124+тарифікація!AB125+тарифікація!AB126</f>
        <v>25283.040000000001</v>
      </c>
      <c r="P113" s="563">
        <f t="shared" si="30"/>
        <v>303396.47999999998</v>
      </c>
      <c r="Q113" s="566">
        <f ca="1">тарифікація!AD124+тарифікація!AD125+тарифікація!AD126</f>
        <v>60000</v>
      </c>
      <c r="R113" s="567">
        <f t="shared" si="31"/>
        <v>720000</v>
      </c>
      <c r="S113" s="566">
        <f>Q113-O113</f>
        <v>34716.959999999999</v>
      </c>
      <c r="T113" s="567">
        <f>R113-P113</f>
        <v>416603.52</v>
      </c>
      <c r="U113" s="567"/>
      <c r="V113" s="567"/>
      <c r="W113" s="567"/>
      <c r="X113" s="548" t="s">
        <v>643</v>
      </c>
      <c r="Y113" s="548" t="s">
        <v>643</v>
      </c>
    </row>
    <row r="114" spans="2:25" s="680" customFormat="1" ht="24.95" customHeight="1">
      <c r="B114" s="676">
        <v>2</v>
      </c>
      <c r="C114" s="677" t="s">
        <v>752</v>
      </c>
      <c r="D114" s="678" t="s">
        <v>656</v>
      </c>
      <c r="E114" s="679" t="s">
        <v>500</v>
      </c>
      <c r="F114" s="679">
        <v>78</v>
      </c>
      <c r="G114" s="688" t="s">
        <v>726</v>
      </c>
      <c r="H114" s="557"/>
      <c r="I114" s="564" t="s">
        <v>1655</v>
      </c>
      <c r="J114" s="556">
        <f ca="1">тарифікація!S127+тарифікація!T127</f>
        <v>0.5</v>
      </c>
      <c r="K114" s="563">
        <f ca="1">тарифікація!R127</f>
        <v>7552.05</v>
      </c>
      <c r="L114" s="563">
        <f ca="1">тарифікація!Z127</f>
        <v>755.20500000000004</v>
      </c>
      <c r="M114" s="563"/>
      <c r="N114" s="563"/>
      <c r="O114" s="562">
        <f ca="1">тарифікація!AB127</f>
        <v>4153.6275000000005</v>
      </c>
      <c r="P114" s="563">
        <f ca="1">O114*12</f>
        <v>49843.530000000006</v>
      </c>
      <c r="Q114" s="566">
        <f ca="1">тарифікація!AD127</f>
        <v>10000</v>
      </c>
      <c r="R114" s="567">
        <f t="shared" si="31"/>
        <v>120000</v>
      </c>
      <c r="S114" s="566">
        <f t="shared" ref="S114:T119" si="32">Q114-O114</f>
        <v>5846.3724999999995</v>
      </c>
      <c r="T114" s="567">
        <f t="shared" si="32"/>
        <v>70156.47</v>
      </c>
      <c r="U114" s="567"/>
      <c r="V114" s="567"/>
      <c r="W114" s="567"/>
      <c r="X114" s="548" t="s">
        <v>643</v>
      </c>
      <c r="Y114" s="548" t="s">
        <v>643</v>
      </c>
    </row>
    <row r="115" spans="2:25" s="680" customFormat="1" ht="24.95" customHeight="1">
      <c r="B115" s="676">
        <v>2</v>
      </c>
      <c r="C115" s="677" t="s">
        <v>752</v>
      </c>
      <c r="D115" s="678" t="s">
        <v>656</v>
      </c>
      <c r="E115" s="679" t="s">
        <v>500</v>
      </c>
      <c r="F115" s="679">
        <v>78</v>
      </c>
      <c r="G115" s="688" t="s">
        <v>727</v>
      </c>
      <c r="H115" s="557"/>
      <c r="I115" s="564" t="s">
        <v>661</v>
      </c>
      <c r="J115" s="556">
        <f ca="1">тарифікація!S128+тарифікація!T128</f>
        <v>0.5</v>
      </c>
      <c r="K115" s="563">
        <f ca="1">тарифікація!R128</f>
        <v>7552.05</v>
      </c>
      <c r="L115" s="563">
        <f ca="1">тарифікація!Z128</f>
        <v>2265.6149999999998</v>
      </c>
      <c r="M115" s="563"/>
      <c r="N115" s="563"/>
      <c r="O115" s="562">
        <f ca="1">тарифікація!AB128</f>
        <v>4908.8325000000004</v>
      </c>
      <c r="P115" s="563">
        <f t="shared" si="30"/>
        <v>58905.990000000005</v>
      </c>
      <c r="Q115" s="566">
        <f ca="1">тарифікація!AD128</f>
        <v>10000</v>
      </c>
      <c r="R115" s="567">
        <f t="shared" si="31"/>
        <v>120000</v>
      </c>
      <c r="S115" s="566">
        <f t="shared" si="32"/>
        <v>5091.1674999999996</v>
      </c>
      <c r="T115" s="567">
        <f t="shared" si="32"/>
        <v>61094.009999999995</v>
      </c>
      <c r="U115" s="567"/>
      <c r="V115" s="567"/>
      <c r="W115" s="567"/>
      <c r="X115" s="548" t="s">
        <v>643</v>
      </c>
      <c r="Y115" s="548" t="s">
        <v>643</v>
      </c>
    </row>
    <row r="116" spans="2:25" s="680" customFormat="1" ht="24.95" customHeight="1">
      <c r="B116" s="676">
        <v>3</v>
      </c>
      <c r="C116" s="677" t="s">
        <v>751</v>
      </c>
      <c r="D116" s="678">
        <v>3231</v>
      </c>
      <c r="E116" s="679">
        <v>24713</v>
      </c>
      <c r="F116" s="679">
        <v>78</v>
      </c>
      <c r="G116" s="688" t="s">
        <v>717</v>
      </c>
      <c r="H116" s="557"/>
      <c r="I116" s="564" t="s">
        <v>662</v>
      </c>
      <c r="J116" s="556">
        <f ca="1">тарифікація!S131</f>
        <v>1</v>
      </c>
      <c r="K116" s="563">
        <f ca="1">тарифікація!R131</f>
        <v>5791.5</v>
      </c>
      <c r="L116" s="563">
        <f ca="1">тарифікація!Z131</f>
        <v>1737.45</v>
      </c>
      <c r="M116" s="563"/>
      <c r="N116" s="563"/>
      <c r="O116" s="562">
        <f ca="1">тарифікація!AB131</f>
        <v>7528.95</v>
      </c>
      <c r="P116" s="563">
        <f t="shared" si="30"/>
        <v>90347.4</v>
      </c>
      <c r="Q116" s="566">
        <f ca="1">тарифікація!AD131</f>
        <v>13500</v>
      </c>
      <c r="R116" s="567">
        <f t="shared" si="31"/>
        <v>162000</v>
      </c>
      <c r="S116" s="566">
        <f t="shared" si="32"/>
        <v>5971.05</v>
      </c>
      <c r="T116" s="567">
        <f t="shared" si="32"/>
        <v>71652.600000000006</v>
      </c>
      <c r="U116" s="567"/>
      <c r="V116" s="567"/>
      <c r="W116" s="567"/>
      <c r="X116" s="548" t="s">
        <v>655</v>
      </c>
      <c r="Y116" s="548" t="s">
        <v>655</v>
      </c>
    </row>
    <row r="117" spans="2:25" s="680" customFormat="1" ht="24.95" customHeight="1">
      <c r="B117" s="676">
        <v>3</v>
      </c>
      <c r="C117" s="677" t="s">
        <v>751</v>
      </c>
      <c r="D117" s="678">
        <v>3232</v>
      </c>
      <c r="E117" s="679">
        <v>20086</v>
      </c>
      <c r="F117" s="679">
        <v>78</v>
      </c>
      <c r="G117" s="688" t="s">
        <v>723</v>
      </c>
      <c r="H117" s="557"/>
      <c r="I117" s="564" t="s">
        <v>1310</v>
      </c>
      <c r="J117" s="584">
        <f ca="1">тарифікація!S132+тарифікація!S133+тарифікація!S134+тарифікація!S135+тарифікація!S136</f>
        <v>5</v>
      </c>
      <c r="K117" s="563">
        <f ca="1">тарифікація!R132+тарифікація!R133+тарифікація!R134+тарифікація!R135+тарифікація!R136</f>
        <v>25515</v>
      </c>
      <c r="L117" s="563">
        <f ca="1">тарифікація!Z132+тарифікація!Z133+тарифікація!Z134+тарифікація!Z135+тарифікація!Z136</f>
        <v>7209</v>
      </c>
      <c r="M117" s="563"/>
      <c r="N117" s="563">
        <f ca="1">тарифікація!AA132+тарифікація!AA133+тарифікація!AA134+тарифікація!AA135+тарифікація!AA136</f>
        <v>1354</v>
      </c>
      <c r="O117" s="562">
        <f ca="1">тарифікація!AB132+тарифікація!AB133+тарифікація!AB134+тарифікація!AB135+тарифікація!AB136</f>
        <v>34078</v>
      </c>
      <c r="P117" s="563">
        <f ca="1">O117*12</f>
        <v>408936</v>
      </c>
      <c r="Q117" s="566">
        <f ca="1">тарифікація!AD132+тарифікація!AD133+тарифікація!AD134+тарифікація!AD135+тарифікація!AD136</f>
        <v>67500</v>
      </c>
      <c r="R117" s="567">
        <f t="shared" si="31"/>
        <v>810000</v>
      </c>
      <c r="S117" s="566">
        <f t="shared" si="32"/>
        <v>33422</v>
      </c>
      <c r="T117" s="567">
        <f t="shared" si="32"/>
        <v>401064</v>
      </c>
      <c r="U117" s="567"/>
      <c r="V117" s="567"/>
      <c r="W117" s="567"/>
      <c r="X117" s="548" t="s">
        <v>655</v>
      </c>
      <c r="Y117" s="548" t="s">
        <v>655</v>
      </c>
    </row>
    <row r="118" spans="2:25" s="680" customFormat="1" ht="24.95" customHeight="1">
      <c r="B118" s="676">
        <v>3</v>
      </c>
      <c r="C118" s="677" t="s">
        <v>751</v>
      </c>
      <c r="D118" s="678">
        <v>3231</v>
      </c>
      <c r="E118" s="679" t="s">
        <v>500</v>
      </c>
      <c r="F118" s="679">
        <v>78</v>
      </c>
      <c r="G118" s="688" t="s">
        <v>728</v>
      </c>
      <c r="H118" s="557"/>
      <c r="I118" s="564" t="s">
        <v>1306</v>
      </c>
      <c r="J118" s="584">
        <f ca="1">тарифікація!S137+тарифікація!S138+тарифікація!S139+тарифікація!S140</f>
        <v>4</v>
      </c>
      <c r="K118" s="562">
        <f ca="1">тарифікація!R137+тарифікація!R138+тарифікація!R139+тарифікація!R140</f>
        <v>20800</v>
      </c>
      <c r="L118" s="563">
        <f ca="1">тарифікація!Z137+тарифікація!Z138+тарифікація!Z139+тарифікація!Z140</f>
        <v>6240</v>
      </c>
      <c r="M118" s="563"/>
      <c r="N118" s="563">
        <f ca="1">тарифікація!AA137+тарифікація!AA138+тарифікація!AA139+тарифікація!AA140</f>
        <v>0</v>
      </c>
      <c r="O118" s="562">
        <f ca="1">тарифікація!AB137+тарифікація!AB138+тарифікація!AB139+тарифікація!AB140</f>
        <v>27040</v>
      </c>
      <c r="P118" s="563">
        <f ca="1">O118*12</f>
        <v>324480</v>
      </c>
      <c r="Q118" s="566">
        <f ca="1">тарифікація!AD137+тарифікація!AD138+тарифікація!AD139+тарифікація!AD140</f>
        <v>54000</v>
      </c>
      <c r="R118" s="567">
        <f t="shared" si="31"/>
        <v>648000</v>
      </c>
      <c r="S118" s="566">
        <f t="shared" si="32"/>
        <v>26960</v>
      </c>
      <c r="T118" s="567">
        <f t="shared" si="32"/>
        <v>323520</v>
      </c>
      <c r="U118" s="567"/>
      <c r="V118" s="567"/>
      <c r="W118" s="567"/>
      <c r="X118" s="548" t="s">
        <v>655</v>
      </c>
      <c r="Y118" s="548" t="s">
        <v>655</v>
      </c>
    </row>
    <row r="119" spans="2:25" s="680" customFormat="1" ht="24.95" customHeight="1">
      <c r="B119" s="676">
        <v>5</v>
      </c>
      <c r="C119" s="687" t="s">
        <v>746</v>
      </c>
      <c r="D119" s="678">
        <v>5132</v>
      </c>
      <c r="E119" s="679"/>
      <c r="F119" s="679">
        <v>78</v>
      </c>
      <c r="G119" s="688" t="s">
        <v>729</v>
      </c>
      <c r="H119" s="557"/>
      <c r="I119" s="564" t="s">
        <v>663</v>
      </c>
      <c r="J119" s="584">
        <f ca="1">тарифікація!S148+тарифікація!T148</f>
        <v>5</v>
      </c>
      <c r="K119" s="563">
        <f ca="1">тарифікація!R148</f>
        <v>17070</v>
      </c>
      <c r="L119" s="563"/>
      <c r="M119" s="563">
        <f ca="1">тарифікація!W148</f>
        <v>1707.0000000000002</v>
      </c>
      <c r="N119" s="563">
        <f ca="1">тарифікація!AA148</f>
        <v>16430</v>
      </c>
      <c r="O119" s="562">
        <f ca="1">тарифікація!AB148</f>
        <v>35207</v>
      </c>
      <c r="P119" s="563">
        <f t="shared" si="30"/>
        <v>422484</v>
      </c>
      <c r="Q119" s="566">
        <f ca="1">тарифікація!AD148</f>
        <v>35207</v>
      </c>
      <c r="R119" s="567">
        <f t="shared" si="31"/>
        <v>422484</v>
      </c>
      <c r="S119" s="566">
        <f t="shared" si="32"/>
        <v>0</v>
      </c>
      <c r="T119" s="567">
        <f t="shared" si="32"/>
        <v>0</v>
      </c>
      <c r="U119" s="567"/>
      <c r="V119" s="567"/>
      <c r="W119" s="567"/>
      <c r="X119" s="548" t="s">
        <v>664</v>
      </c>
      <c r="Y119" s="548" t="s">
        <v>664</v>
      </c>
    </row>
    <row r="120" spans="2:25" s="680" customFormat="1" ht="24.95" customHeight="1">
      <c r="B120" s="676"/>
      <c r="C120" s="677"/>
      <c r="D120" s="668"/>
      <c r="E120" s="668"/>
      <c r="F120" s="668"/>
      <c r="G120" s="682"/>
      <c r="H120" s="557"/>
      <c r="I120" s="568" t="s">
        <v>653</v>
      </c>
      <c r="J120" s="585">
        <f ca="1">SUM(J112:J119)</f>
        <v>20</v>
      </c>
      <c r="K120" s="581"/>
      <c r="L120" s="569">
        <f t="shared" ref="L120:T120" si="33">SUM(L112:L119)</f>
        <v>24940.014000000003</v>
      </c>
      <c r="M120" s="569">
        <f t="shared" si="33"/>
        <v>1707.0000000000002</v>
      </c>
      <c r="N120" s="569">
        <f t="shared" si="33"/>
        <v>17784</v>
      </c>
      <c r="O120" s="569">
        <f t="shared" si="33"/>
        <v>153489.63400000002</v>
      </c>
      <c r="P120" s="581">
        <f t="shared" si="33"/>
        <v>1841875.608</v>
      </c>
      <c r="Q120" s="570">
        <f t="shared" si="33"/>
        <v>270207</v>
      </c>
      <c r="R120" s="582">
        <f t="shared" si="33"/>
        <v>3242484</v>
      </c>
      <c r="S120" s="570">
        <f t="shared" si="33"/>
        <v>116717.36599999999</v>
      </c>
      <c r="T120" s="582">
        <f t="shared" si="33"/>
        <v>1400608.392</v>
      </c>
      <c r="U120" s="582"/>
      <c r="V120" s="582"/>
      <c r="W120" s="582"/>
      <c r="X120" s="579"/>
      <c r="Y120" s="579"/>
    </row>
    <row r="121" spans="2:25" s="680" customFormat="1" ht="24.95" customHeight="1">
      <c r="B121" s="676"/>
      <c r="C121" s="677"/>
      <c r="D121" s="670"/>
      <c r="E121" s="671"/>
      <c r="F121" s="670"/>
      <c r="G121" s="683"/>
      <c r="H121" s="557"/>
      <c r="I121" s="558" t="s">
        <v>753</v>
      </c>
      <c r="J121" s="558"/>
      <c r="K121" s="558"/>
      <c r="L121" s="558"/>
      <c r="M121" s="558"/>
      <c r="N121" s="558"/>
      <c r="O121" s="558"/>
      <c r="P121" s="558"/>
      <c r="Q121" s="572"/>
      <c r="R121" s="572"/>
      <c r="S121" s="572"/>
      <c r="T121" s="572"/>
      <c r="U121" s="572"/>
      <c r="V121" s="572"/>
      <c r="W121" s="572"/>
      <c r="X121" s="548"/>
      <c r="Y121" s="548"/>
    </row>
    <row r="122" spans="2:25" s="680" customFormat="1" ht="24.95" customHeight="1">
      <c r="B122" s="676">
        <v>2</v>
      </c>
      <c r="C122" s="677" t="s">
        <v>752</v>
      </c>
      <c r="D122" s="678" t="s">
        <v>656</v>
      </c>
      <c r="E122" s="679">
        <v>20356</v>
      </c>
      <c r="F122" s="679">
        <v>78</v>
      </c>
      <c r="G122" s="688" t="s">
        <v>730</v>
      </c>
      <c r="H122" s="557"/>
      <c r="I122" s="564" t="s">
        <v>541</v>
      </c>
      <c r="J122" s="584">
        <f ca="1">тарифікація!S152+тарифікація!T152</f>
        <v>1</v>
      </c>
      <c r="K122" s="586">
        <f ca="1">тарифікація!R152</f>
        <v>7552.05</v>
      </c>
      <c r="L122" s="563">
        <f ca="1">тарифікація!Z152</f>
        <v>2265.6149999999998</v>
      </c>
      <c r="M122" s="563"/>
      <c r="N122" s="563"/>
      <c r="O122" s="562">
        <f ca="1">тарифікація!AB152</f>
        <v>9817.6650000000009</v>
      </c>
      <c r="P122" s="563">
        <f ca="1">O122*12</f>
        <v>117811.98000000001</v>
      </c>
      <c r="Q122" s="566">
        <f ca="1">тарифікація!AD152</f>
        <v>20000</v>
      </c>
      <c r="R122" s="567">
        <f>Q122*12</f>
        <v>240000</v>
      </c>
      <c r="S122" s="566">
        <f t="shared" ref="S122:T124" si="34">Q122-O122</f>
        <v>10182.334999999999</v>
      </c>
      <c r="T122" s="567">
        <f t="shared" si="34"/>
        <v>122188.01999999999</v>
      </c>
      <c r="U122" s="567"/>
      <c r="V122" s="567"/>
      <c r="W122" s="567"/>
      <c r="X122" s="548" t="s">
        <v>643</v>
      </c>
      <c r="Y122" s="548" t="s">
        <v>643</v>
      </c>
    </row>
    <row r="123" spans="2:25" s="680" customFormat="1" ht="24.95" customHeight="1">
      <c r="B123" s="676">
        <v>3</v>
      </c>
      <c r="C123" s="677" t="s">
        <v>751</v>
      </c>
      <c r="D123" s="678">
        <v>3231</v>
      </c>
      <c r="E123" s="679" t="s">
        <v>500</v>
      </c>
      <c r="F123" s="679">
        <v>78</v>
      </c>
      <c r="G123" s="688" t="s">
        <v>728</v>
      </c>
      <c r="H123" s="557"/>
      <c r="I123" s="564" t="s">
        <v>1306</v>
      </c>
      <c r="J123" s="584">
        <f ca="1">тарифікація!S161+тарифікація!T161</f>
        <v>6</v>
      </c>
      <c r="K123" s="562">
        <f ca="1">тарифікація!R161</f>
        <v>33304</v>
      </c>
      <c r="L123" s="563">
        <f ca="1">тарифікація!Z161</f>
        <v>8963.1</v>
      </c>
      <c r="M123" s="563"/>
      <c r="N123" s="563">
        <f ca="1">тарифікація!AA161</f>
        <v>1062.7999999999997</v>
      </c>
      <c r="O123" s="562">
        <f ca="1">тарифікація!AB161</f>
        <v>43329.9</v>
      </c>
      <c r="P123" s="563">
        <f ca="1">O123*12</f>
        <v>519958.80000000005</v>
      </c>
      <c r="Q123" s="566">
        <f ca="1">тарифікація!AD161</f>
        <v>81000</v>
      </c>
      <c r="R123" s="567">
        <f>Q123*12</f>
        <v>972000</v>
      </c>
      <c r="S123" s="566">
        <f t="shared" si="34"/>
        <v>37670.1</v>
      </c>
      <c r="T123" s="567">
        <f t="shared" si="34"/>
        <v>452041.19999999995</v>
      </c>
      <c r="U123" s="567"/>
      <c r="V123" s="567"/>
      <c r="W123" s="567"/>
      <c r="X123" s="548" t="s">
        <v>655</v>
      </c>
      <c r="Y123" s="548" t="s">
        <v>655</v>
      </c>
    </row>
    <row r="124" spans="2:25" s="680" customFormat="1" ht="24.95" customHeight="1">
      <c r="B124" s="676">
        <v>5</v>
      </c>
      <c r="C124" s="687" t="s">
        <v>746</v>
      </c>
      <c r="D124" s="678">
        <v>5132</v>
      </c>
      <c r="E124" s="679"/>
      <c r="F124" s="679">
        <v>78</v>
      </c>
      <c r="G124" s="688" t="s">
        <v>729</v>
      </c>
      <c r="H124" s="557"/>
      <c r="I124" s="564" t="s">
        <v>663</v>
      </c>
      <c r="J124" s="584">
        <f ca="1">тарифікація!S168+тарифікація!T168</f>
        <v>5</v>
      </c>
      <c r="K124" s="562">
        <f ca="1">тарифікація!R168</f>
        <v>19630.5</v>
      </c>
      <c r="L124" s="563">
        <f ca="1">тарифікація!Z168</f>
        <v>0</v>
      </c>
      <c r="M124" s="563"/>
      <c r="N124" s="563">
        <f ca="1">тарифікація!AA168</f>
        <v>13869.5</v>
      </c>
      <c r="O124" s="562">
        <f ca="1">тарифікація!AB168</f>
        <v>35463.050000000003</v>
      </c>
      <c r="P124" s="563">
        <f ca="1">O124*12</f>
        <v>425556.60000000003</v>
      </c>
      <c r="Q124" s="566">
        <f ca="1">тарифікація!AD168</f>
        <v>35463.050000000003</v>
      </c>
      <c r="R124" s="567">
        <f>Q124*12</f>
        <v>425556.60000000003</v>
      </c>
      <c r="S124" s="566">
        <f t="shared" si="34"/>
        <v>0</v>
      </c>
      <c r="T124" s="567">
        <f t="shared" si="34"/>
        <v>0</v>
      </c>
      <c r="U124" s="567"/>
      <c r="V124" s="567"/>
      <c r="W124" s="567"/>
      <c r="X124" s="548" t="s">
        <v>664</v>
      </c>
      <c r="Y124" s="548" t="s">
        <v>664</v>
      </c>
    </row>
    <row r="125" spans="2:25" s="680" customFormat="1" ht="24.95" customHeight="1">
      <c r="B125" s="676"/>
      <c r="C125" s="677"/>
      <c r="D125" s="668"/>
      <c r="E125" s="668"/>
      <c r="F125" s="668"/>
      <c r="G125" s="682"/>
      <c r="H125" s="557"/>
      <c r="I125" s="568" t="s">
        <v>653</v>
      </c>
      <c r="J125" s="585">
        <f ca="1">SUM(J122:J124)</f>
        <v>12</v>
      </c>
      <c r="K125" s="581"/>
      <c r="L125" s="569">
        <f ca="1">SUM(L123:L124)</f>
        <v>8963.1</v>
      </c>
      <c r="M125" s="569">
        <f ca="1">SUM(M123:M124)</f>
        <v>0</v>
      </c>
      <c r="N125" s="569">
        <f ca="1">SUM(N123:N124)</f>
        <v>14932.3</v>
      </c>
      <c r="O125" s="569">
        <f t="shared" ref="O125:T125" si="35">SUM(O122:O124)</f>
        <v>88610.615000000005</v>
      </c>
      <c r="P125" s="569">
        <f t="shared" si="35"/>
        <v>1063327.3800000001</v>
      </c>
      <c r="Q125" s="570">
        <f t="shared" si="35"/>
        <v>136463.04999999999</v>
      </c>
      <c r="R125" s="570">
        <f t="shared" si="35"/>
        <v>1637556.6</v>
      </c>
      <c r="S125" s="570">
        <f t="shared" si="35"/>
        <v>47852.434999999998</v>
      </c>
      <c r="T125" s="570">
        <f t="shared" si="35"/>
        <v>574229.22</v>
      </c>
      <c r="U125" s="570"/>
      <c r="V125" s="570"/>
      <c r="W125" s="570"/>
      <c r="X125" s="578"/>
      <c r="Y125" s="578"/>
    </row>
    <row r="126" spans="2:25" s="680" customFormat="1" ht="24.95" customHeight="1">
      <c r="B126" s="676"/>
      <c r="C126" s="677"/>
      <c r="D126" s="670"/>
      <c r="E126" s="671"/>
      <c r="F126" s="670"/>
      <c r="G126" s="683"/>
      <c r="H126" s="557"/>
      <c r="I126" s="558" t="s">
        <v>665</v>
      </c>
      <c r="J126" s="558"/>
      <c r="K126" s="558"/>
      <c r="L126" s="558"/>
      <c r="M126" s="558"/>
      <c r="N126" s="558"/>
      <c r="O126" s="558"/>
      <c r="P126" s="558"/>
      <c r="Q126" s="572"/>
      <c r="R126" s="572"/>
      <c r="S126" s="572"/>
      <c r="T126" s="572"/>
      <c r="U126" s="572"/>
      <c r="V126" s="572"/>
      <c r="W126" s="572"/>
      <c r="X126" s="548"/>
      <c r="Y126" s="548"/>
    </row>
    <row r="127" spans="2:25" s="680" customFormat="1" ht="24.95" customHeight="1">
      <c r="B127" s="676">
        <v>1</v>
      </c>
      <c r="C127" s="677" t="s">
        <v>750</v>
      </c>
      <c r="D127" s="678" t="s">
        <v>654</v>
      </c>
      <c r="E127" s="679"/>
      <c r="F127" s="679">
        <v>78</v>
      </c>
      <c r="G127" s="688" t="s">
        <v>725</v>
      </c>
      <c r="H127" s="557"/>
      <c r="I127" s="564" t="s">
        <v>543</v>
      </c>
      <c r="J127" s="584">
        <f ca="1">тарифікація!S172</f>
        <v>1</v>
      </c>
      <c r="K127" s="562">
        <f ca="1">тарифікація!R172</f>
        <v>7223.7</v>
      </c>
      <c r="L127" s="563">
        <f ca="1">тарифікація!Z172</f>
        <v>2167.1099999999997</v>
      </c>
      <c r="M127" s="563"/>
      <c r="N127" s="563"/>
      <c r="O127" s="562">
        <f ca="1">тарифікація!AB172</f>
        <v>9390.81</v>
      </c>
      <c r="P127" s="563">
        <f t="shared" ref="P127:P132" si="36">O127*12</f>
        <v>112689.72</v>
      </c>
      <c r="Q127" s="566">
        <f ca="1">тарифікація!AD172</f>
        <v>20000</v>
      </c>
      <c r="R127" s="567">
        <f t="shared" ref="R127:R132" si="37">Q127*12</f>
        <v>240000</v>
      </c>
      <c r="S127" s="566">
        <f t="shared" ref="S127:T132" si="38">Q127-O127</f>
        <v>10609.19</v>
      </c>
      <c r="T127" s="567">
        <f t="shared" si="38"/>
        <v>127310.28</v>
      </c>
      <c r="U127" s="567"/>
      <c r="V127" s="567"/>
      <c r="W127" s="567"/>
      <c r="X127" s="548" t="s">
        <v>643</v>
      </c>
      <c r="Y127" s="551" t="s">
        <v>645</v>
      </c>
    </row>
    <row r="128" spans="2:25" s="680" customFormat="1" ht="24.95" customHeight="1">
      <c r="B128" s="676">
        <v>2</v>
      </c>
      <c r="C128" s="677" t="s">
        <v>752</v>
      </c>
      <c r="D128" s="678" t="s">
        <v>656</v>
      </c>
      <c r="E128" s="679">
        <v>20371</v>
      </c>
      <c r="F128" s="679">
        <v>78</v>
      </c>
      <c r="G128" s="688" t="s">
        <v>657</v>
      </c>
      <c r="H128" s="557"/>
      <c r="I128" s="564" t="s">
        <v>1267</v>
      </c>
      <c r="J128" s="584">
        <f ca="1">тарифікація!S173</f>
        <v>1</v>
      </c>
      <c r="K128" s="562">
        <f ca="1">тарифікація!R173</f>
        <v>6567</v>
      </c>
      <c r="L128" s="563">
        <f ca="1">тарифікація!Z173</f>
        <v>1970.1</v>
      </c>
      <c r="M128" s="563"/>
      <c r="N128" s="563"/>
      <c r="O128" s="562">
        <f ca="1">тарифікація!AB173</f>
        <v>8537.1</v>
      </c>
      <c r="P128" s="563">
        <f t="shared" si="36"/>
        <v>102445.20000000001</v>
      </c>
      <c r="Q128" s="566">
        <f ca="1">тарифікація!AD173</f>
        <v>20000</v>
      </c>
      <c r="R128" s="567">
        <f t="shared" si="37"/>
        <v>240000</v>
      </c>
      <c r="S128" s="566">
        <f t="shared" si="38"/>
        <v>11462.9</v>
      </c>
      <c r="T128" s="567">
        <f t="shared" si="38"/>
        <v>137554.79999999999</v>
      </c>
      <c r="U128" s="567"/>
      <c r="V128" s="567"/>
      <c r="W128" s="567"/>
      <c r="X128" s="548" t="s">
        <v>643</v>
      </c>
      <c r="Y128" s="548" t="s">
        <v>643</v>
      </c>
    </row>
    <row r="129" spans="2:25" s="680" customFormat="1" ht="24.95" customHeight="1">
      <c r="B129" s="676">
        <v>3</v>
      </c>
      <c r="C129" s="677" t="s">
        <v>751</v>
      </c>
      <c r="D129" s="678">
        <v>3231</v>
      </c>
      <c r="E129" s="679">
        <v>24713</v>
      </c>
      <c r="F129" s="679">
        <v>78</v>
      </c>
      <c r="G129" s="688" t="s">
        <v>717</v>
      </c>
      <c r="H129" s="557"/>
      <c r="I129" s="564" t="s">
        <v>662</v>
      </c>
      <c r="J129" s="584">
        <f ca="1">тарифікація!S176</f>
        <v>1</v>
      </c>
      <c r="K129" s="562">
        <f ca="1">тарифікація!R176</f>
        <v>5219.5</v>
      </c>
      <c r="L129" s="563">
        <f ca="1">тарифікація!Z176</f>
        <v>1043.9000000000001</v>
      </c>
      <c r="M129" s="563"/>
      <c r="N129" s="563">
        <f ca="1">тарифікація!AA176</f>
        <v>436.59999999999991</v>
      </c>
      <c r="O129" s="562">
        <f ca="1">тарифікація!AB176</f>
        <v>6700</v>
      </c>
      <c r="P129" s="563">
        <f t="shared" si="36"/>
        <v>80400</v>
      </c>
      <c r="Q129" s="566">
        <f ca="1">тарифікація!AD176</f>
        <v>13500</v>
      </c>
      <c r="R129" s="567">
        <f t="shared" si="37"/>
        <v>162000</v>
      </c>
      <c r="S129" s="566">
        <f t="shared" si="38"/>
        <v>6800</v>
      </c>
      <c r="T129" s="567">
        <f t="shared" si="38"/>
        <v>81600</v>
      </c>
      <c r="U129" s="567"/>
      <c r="V129" s="567"/>
      <c r="W129" s="567"/>
      <c r="X129" s="548" t="s">
        <v>655</v>
      </c>
      <c r="Y129" s="548" t="s">
        <v>655</v>
      </c>
    </row>
    <row r="130" spans="2:25" s="680" customFormat="1" ht="24.95" customHeight="1">
      <c r="B130" s="676">
        <v>3</v>
      </c>
      <c r="C130" s="677" t="s">
        <v>751</v>
      </c>
      <c r="D130" s="678">
        <v>3231</v>
      </c>
      <c r="E130" s="679" t="s">
        <v>500</v>
      </c>
      <c r="F130" s="679">
        <v>78</v>
      </c>
      <c r="G130" s="688" t="s">
        <v>728</v>
      </c>
      <c r="H130" s="557"/>
      <c r="I130" s="564" t="s">
        <v>1306</v>
      </c>
      <c r="J130" s="584">
        <f ca="1">тарифікація!S178+тарифікація!S179+тарифікація!S180+тарифікація!S181+тарифікація!S182</f>
        <v>5</v>
      </c>
      <c r="K130" s="562">
        <f ca="1">тарифікація!R178+тарифікація!R179+тарифікація!R180+тарифікація!R181+тарифікація!R182</f>
        <v>24765</v>
      </c>
      <c r="L130" s="563">
        <f ca="1">тарифікація!Z178+тарифікація!Z179+тарифікація!Z180+тарифікація!Z181+тарифікація!Z182</f>
        <v>5954</v>
      </c>
      <c r="M130" s="563"/>
      <c r="N130" s="563">
        <f ca="1">тарифікація!AA178+тарифікація!AA179+тарифікація!AA180+тарифікація!AA181+тарифікація!AA182</f>
        <v>2781</v>
      </c>
      <c r="O130" s="562">
        <f ca="1">тарифікація!AB178+тарифікація!AB179+тарифікація!AB180+тарифікація!AB181+тарифікація!AB182</f>
        <v>33500</v>
      </c>
      <c r="P130" s="563">
        <f t="shared" si="36"/>
        <v>402000</v>
      </c>
      <c r="Q130" s="566">
        <f ca="1">тарифікація!AD178+тарифікація!AD179+тарифікація!AD180+тарифікація!AD181+тарифікація!AD182</f>
        <v>67500</v>
      </c>
      <c r="R130" s="567">
        <f t="shared" si="37"/>
        <v>810000</v>
      </c>
      <c r="S130" s="566">
        <f t="shared" si="38"/>
        <v>34000</v>
      </c>
      <c r="T130" s="567">
        <f t="shared" si="38"/>
        <v>408000</v>
      </c>
      <c r="U130" s="567"/>
      <c r="V130" s="567"/>
      <c r="W130" s="567"/>
      <c r="X130" s="548" t="s">
        <v>655</v>
      </c>
      <c r="Y130" s="548" t="s">
        <v>655</v>
      </c>
    </row>
    <row r="131" spans="2:25" s="680" customFormat="1" ht="24.95" customHeight="1">
      <c r="B131" s="676">
        <v>3</v>
      </c>
      <c r="C131" s="677" t="s">
        <v>751</v>
      </c>
      <c r="D131" s="678">
        <v>3231</v>
      </c>
      <c r="E131" s="679" t="s">
        <v>500</v>
      </c>
      <c r="F131" s="679">
        <v>78</v>
      </c>
      <c r="G131" s="688" t="s">
        <v>728</v>
      </c>
      <c r="H131" s="557"/>
      <c r="I131" s="564" t="s">
        <v>666</v>
      </c>
      <c r="J131" s="584">
        <f ca="1">тарифікація!S177</f>
        <v>1</v>
      </c>
      <c r="K131" s="562">
        <f ca="1">тарифікація!R177</f>
        <v>5005</v>
      </c>
      <c r="L131" s="563">
        <f ca="1">тарифікація!Z177</f>
        <v>1501.5</v>
      </c>
      <c r="M131" s="563"/>
      <c r="N131" s="563">
        <f ca="1">тарифікація!AA177</f>
        <v>193.5</v>
      </c>
      <c r="O131" s="562">
        <f ca="1">тарифікація!AB177</f>
        <v>6700</v>
      </c>
      <c r="P131" s="563">
        <f t="shared" si="36"/>
        <v>80400</v>
      </c>
      <c r="Q131" s="566">
        <f ca="1">тарифікація!AD177</f>
        <v>13500</v>
      </c>
      <c r="R131" s="567">
        <f t="shared" si="37"/>
        <v>162000</v>
      </c>
      <c r="S131" s="566">
        <f t="shared" si="38"/>
        <v>6800</v>
      </c>
      <c r="T131" s="567">
        <f t="shared" si="38"/>
        <v>81600</v>
      </c>
      <c r="U131" s="567"/>
      <c r="V131" s="567"/>
      <c r="W131" s="567"/>
      <c r="X131" s="548" t="s">
        <v>655</v>
      </c>
      <c r="Y131" s="548" t="s">
        <v>655</v>
      </c>
    </row>
    <row r="132" spans="2:25" s="680" customFormat="1" ht="24.95" customHeight="1">
      <c r="B132" s="676">
        <v>5</v>
      </c>
      <c r="C132" s="687" t="s">
        <v>746</v>
      </c>
      <c r="D132" s="678">
        <v>5132</v>
      </c>
      <c r="E132" s="679"/>
      <c r="F132" s="679">
        <v>78</v>
      </c>
      <c r="G132" s="688" t="s">
        <v>729</v>
      </c>
      <c r="H132" s="557"/>
      <c r="I132" s="564" t="s">
        <v>663</v>
      </c>
      <c r="J132" s="584">
        <f ca="1">тарифікація!S190+тарифікація!T190</f>
        <v>5</v>
      </c>
      <c r="K132" s="562">
        <f ca="1">тарифікація!R190</f>
        <v>17070</v>
      </c>
      <c r="L132" s="563"/>
      <c r="M132" s="563"/>
      <c r="N132" s="563">
        <f ca="1">тарифікація!AA190</f>
        <v>16430</v>
      </c>
      <c r="O132" s="562">
        <f ca="1">тарифікація!AB190</f>
        <v>35207</v>
      </c>
      <c r="P132" s="563">
        <f t="shared" si="36"/>
        <v>422484</v>
      </c>
      <c r="Q132" s="566">
        <f ca="1">тарифікація!AD190</f>
        <v>35207</v>
      </c>
      <c r="R132" s="567">
        <f t="shared" si="37"/>
        <v>422484</v>
      </c>
      <c r="S132" s="566">
        <f t="shared" si="38"/>
        <v>0</v>
      </c>
      <c r="T132" s="567">
        <f t="shared" si="38"/>
        <v>0</v>
      </c>
      <c r="U132" s="567"/>
      <c r="V132" s="567"/>
      <c r="W132" s="567"/>
      <c r="X132" s="548" t="s">
        <v>664</v>
      </c>
      <c r="Y132" s="548" t="s">
        <v>664</v>
      </c>
    </row>
    <row r="133" spans="2:25" s="680" customFormat="1" ht="24.95" customHeight="1">
      <c r="B133" s="676"/>
      <c r="C133" s="677"/>
      <c r="D133" s="924"/>
      <c r="E133" s="924"/>
      <c r="F133" s="924"/>
      <c r="G133" s="925"/>
      <c r="H133" s="557"/>
      <c r="I133" s="926" t="s">
        <v>653</v>
      </c>
      <c r="J133" s="585">
        <f ca="1">SUM(J127:J132)</f>
        <v>14</v>
      </c>
      <c r="K133" s="569"/>
      <c r="L133" s="581">
        <f t="shared" ref="L133:T133" si="39">SUM(L127:L132)</f>
        <v>12636.609999999999</v>
      </c>
      <c r="M133" s="581">
        <f t="shared" si="39"/>
        <v>0</v>
      </c>
      <c r="N133" s="581">
        <f t="shared" si="39"/>
        <v>19841.099999999999</v>
      </c>
      <c r="O133" s="581">
        <f t="shared" si="39"/>
        <v>100034.91</v>
      </c>
      <c r="P133" s="581">
        <f t="shared" si="39"/>
        <v>1200418.92</v>
      </c>
      <c r="Q133" s="582">
        <f t="shared" si="39"/>
        <v>169707</v>
      </c>
      <c r="R133" s="582">
        <f t="shared" si="39"/>
        <v>2036484</v>
      </c>
      <c r="S133" s="582">
        <f t="shared" si="39"/>
        <v>69672.09</v>
      </c>
      <c r="T133" s="582">
        <f t="shared" si="39"/>
        <v>836065.08</v>
      </c>
      <c r="U133" s="582"/>
      <c r="V133" s="582"/>
      <c r="W133" s="582"/>
      <c r="X133" s="579"/>
      <c r="Y133" s="578"/>
    </row>
    <row r="134" spans="2:25" s="680" customFormat="1" ht="24.95" customHeight="1">
      <c r="B134" s="676"/>
      <c r="C134" s="677"/>
      <c r="D134" s="670"/>
      <c r="E134" s="671"/>
      <c r="F134" s="670"/>
      <c r="G134" s="683"/>
      <c r="H134" s="557"/>
      <c r="I134" s="558" t="s">
        <v>667</v>
      </c>
      <c r="J134" s="558"/>
      <c r="K134" s="558"/>
      <c r="L134" s="558"/>
      <c r="M134" s="558"/>
      <c r="N134" s="558"/>
      <c r="O134" s="558"/>
      <c r="P134" s="558"/>
      <c r="Q134" s="572"/>
      <c r="R134" s="572"/>
      <c r="S134" s="572"/>
      <c r="T134" s="572"/>
      <c r="U134" s="572"/>
      <c r="V134" s="572"/>
      <c r="W134" s="572"/>
      <c r="X134" s="548"/>
      <c r="Y134" s="548"/>
    </row>
    <row r="135" spans="2:25" s="680" customFormat="1" ht="24.95" customHeight="1">
      <c r="B135" s="676">
        <v>1</v>
      </c>
      <c r="C135" s="677" t="s">
        <v>750</v>
      </c>
      <c r="D135" s="678" t="s">
        <v>654</v>
      </c>
      <c r="E135" s="679"/>
      <c r="F135" s="679">
        <v>78</v>
      </c>
      <c r="G135" s="688" t="s">
        <v>725</v>
      </c>
      <c r="H135" s="557"/>
      <c r="I135" s="583" t="s">
        <v>1268</v>
      </c>
      <c r="J135" s="584">
        <f ca="1">тарифікація!S194</f>
        <v>1</v>
      </c>
      <c r="K135" s="562">
        <f ca="1">тарифікація!R194</f>
        <v>7223.7</v>
      </c>
      <c r="L135" s="563">
        <f ca="1">тарифікація!Z194</f>
        <v>2167.1099999999997</v>
      </c>
      <c r="M135" s="563"/>
      <c r="N135" s="563"/>
      <c r="O135" s="562">
        <f ca="1">тарифікація!AB194</f>
        <v>9390.81</v>
      </c>
      <c r="P135" s="563">
        <f t="shared" ref="P135:P140" si="40">O135*12</f>
        <v>112689.72</v>
      </c>
      <c r="Q135" s="566">
        <f ca="1">тарифікація!AD194</f>
        <v>20000</v>
      </c>
      <c r="R135" s="567">
        <f t="shared" ref="R135:R140" si="41">Q135*12</f>
        <v>240000</v>
      </c>
      <c r="S135" s="566">
        <f t="shared" ref="S135:T140" si="42">Q135-O135</f>
        <v>10609.19</v>
      </c>
      <c r="T135" s="567">
        <f t="shared" si="42"/>
        <v>127310.28</v>
      </c>
      <c r="U135" s="567"/>
      <c r="V135" s="567"/>
      <c r="W135" s="567"/>
      <c r="X135" s="548" t="s">
        <v>643</v>
      </c>
      <c r="Y135" s="551" t="s">
        <v>645</v>
      </c>
    </row>
    <row r="136" spans="2:25" s="680" customFormat="1" ht="24.95" customHeight="1">
      <c r="B136" s="676">
        <v>2</v>
      </c>
      <c r="C136" s="677" t="s">
        <v>752</v>
      </c>
      <c r="D136" s="678" t="s">
        <v>656</v>
      </c>
      <c r="E136" s="679">
        <v>20481</v>
      </c>
      <c r="F136" s="679">
        <v>78</v>
      </c>
      <c r="G136" s="688" t="s">
        <v>722</v>
      </c>
      <c r="H136" s="557"/>
      <c r="I136" s="583" t="s">
        <v>1271</v>
      </c>
      <c r="J136" s="584">
        <f ca="1">тарифікація!S195</f>
        <v>1</v>
      </c>
      <c r="K136" s="562">
        <f ca="1">тарифікація!R195</f>
        <v>6133</v>
      </c>
      <c r="L136" s="563">
        <f ca="1">тарифікація!Z195</f>
        <v>1839.8999999999999</v>
      </c>
      <c r="M136" s="563"/>
      <c r="N136" s="563"/>
      <c r="O136" s="562">
        <f ca="1">тарифікація!AB195</f>
        <v>7972.9</v>
      </c>
      <c r="P136" s="563">
        <f t="shared" si="40"/>
        <v>95674.799999999988</v>
      </c>
      <c r="Q136" s="566">
        <f ca="1">тарифікація!AD195</f>
        <v>20000</v>
      </c>
      <c r="R136" s="567">
        <f t="shared" si="41"/>
        <v>240000</v>
      </c>
      <c r="S136" s="566">
        <f t="shared" si="42"/>
        <v>12027.1</v>
      </c>
      <c r="T136" s="567">
        <f t="shared" si="42"/>
        <v>144325.20000000001</v>
      </c>
      <c r="U136" s="567"/>
      <c r="V136" s="567"/>
      <c r="W136" s="567"/>
      <c r="X136" s="548" t="s">
        <v>643</v>
      </c>
      <c r="Y136" s="548" t="s">
        <v>643</v>
      </c>
    </row>
    <row r="137" spans="2:25" s="680" customFormat="1" ht="24.95" customHeight="1">
      <c r="B137" s="676">
        <v>3</v>
      </c>
      <c r="C137" s="677" t="s">
        <v>751</v>
      </c>
      <c r="D137" s="678">
        <v>3231</v>
      </c>
      <c r="E137" s="679">
        <v>24713</v>
      </c>
      <c r="F137" s="679">
        <v>78</v>
      </c>
      <c r="G137" s="688" t="s">
        <v>717</v>
      </c>
      <c r="H137" s="557"/>
      <c r="I137" s="564" t="s">
        <v>662</v>
      </c>
      <c r="J137" s="584">
        <f ca="1">тарифікація!S198</f>
        <v>1</v>
      </c>
      <c r="K137" s="562">
        <f ca="1">тарифікація!R198</f>
        <v>5505.5</v>
      </c>
      <c r="L137" s="563">
        <f ca="1">тарифікація!Z198</f>
        <v>1651.6499999999999</v>
      </c>
      <c r="M137" s="563"/>
      <c r="N137" s="563"/>
      <c r="O137" s="562">
        <f ca="1">тарифікація!AB198</f>
        <v>7157.15</v>
      </c>
      <c r="P137" s="563">
        <f t="shared" si="40"/>
        <v>85885.799999999988</v>
      </c>
      <c r="Q137" s="566">
        <f ca="1">тарифікація!AD198</f>
        <v>13500</v>
      </c>
      <c r="R137" s="567">
        <f t="shared" si="41"/>
        <v>162000</v>
      </c>
      <c r="S137" s="566">
        <f t="shared" si="42"/>
        <v>6342.85</v>
      </c>
      <c r="T137" s="567">
        <f t="shared" si="42"/>
        <v>76114.200000000012</v>
      </c>
      <c r="U137" s="567"/>
      <c r="V137" s="567"/>
      <c r="W137" s="567"/>
      <c r="X137" s="548" t="s">
        <v>655</v>
      </c>
      <c r="Y137" s="548" t="s">
        <v>655</v>
      </c>
    </row>
    <row r="138" spans="2:25" s="680" customFormat="1" ht="24.95" customHeight="1">
      <c r="B138" s="676">
        <v>3</v>
      </c>
      <c r="C138" s="677" t="s">
        <v>751</v>
      </c>
      <c r="D138" s="678">
        <v>3231</v>
      </c>
      <c r="E138" s="679" t="s">
        <v>500</v>
      </c>
      <c r="F138" s="679">
        <v>78</v>
      </c>
      <c r="G138" s="688" t="s">
        <v>728</v>
      </c>
      <c r="H138" s="557"/>
      <c r="I138" s="564" t="s">
        <v>1306</v>
      </c>
      <c r="J138" s="584">
        <f ca="1">тарифікація!S200+тарифікація!S201+тарифікація!S202+тарифікація!S203+тарифікація!S204</f>
        <v>5</v>
      </c>
      <c r="K138" s="562">
        <f ca="1">тарифікація!R200+тарифікація!R201+тарифікація!R202+тарифікація!R203+тарифікація!R204</f>
        <v>25025</v>
      </c>
      <c r="L138" s="563">
        <f ca="1">тарифікація!Z200+тарифікація!Z201+тарифікація!Z202+тарифікація!Z203+тарифікація!Z204</f>
        <v>7507.5</v>
      </c>
      <c r="M138" s="563"/>
      <c r="N138" s="563"/>
      <c r="O138" s="562">
        <f ca="1">тарифікація!AB200+тарифікація!AB201+тарифікація!AB202+тарифікація!AB203+тарифікація!AB204</f>
        <v>33500</v>
      </c>
      <c r="P138" s="563">
        <f t="shared" si="40"/>
        <v>402000</v>
      </c>
      <c r="Q138" s="566">
        <f ca="1">тарифікація!AD200+тарифікація!AD201+тарифікація!AD202+тарифікація!AD203+тарифікація!AD204</f>
        <v>67500</v>
      </c>
      <c r="R138" s="567">
        <f t="shared" si="41"/>
        <v>810000</v>
      </c>
      <c r="S138" s="566">
        <f t="shared" si="42"/>
        <v>34000</v>
      </c>
      <c r="T138" s="567">
        <f t="shared" si="42"/>
        <v>408000</v>
      </c>
      <c r="U138" s="567"/>
      <c r="V138" s="567"/>
      <c r="W138" s="567"/>
      <c r="X138" s="548" t="s">
        <v>655</v>
      </c>
      <c r="Y138" s="548" t="s">
        <v>655</v>
      </c>
    </row>
    <row r="139" spans="2:25" s="680" customFormat="1" ht="24.95" customHeight="1">
      <c r="B139" s="676">
        <v>3</v>
      </c>
      <c r="C139" s="677" t="s">
        <v>751</v>
      </c>
      <c r="D139" s="678">
        <v>3231</v>
      </c>
      <c r="E139" s="679" t="s">
        <v>500</v>
      </c>
      <c r="F139" s="679">
        <v>78</v>
      </c>
      <c r="G139" s="688" t="s">
        <v>728</v>
      </c>
      <c r="H139" s="557"/>
      <c r="I139" s="564" t="s">
        <v>666</v>
      </c>
      <c r="J139" s="584">
        <f ca="1">тарифікація!S199</f>
        <v>1</v>
      </c>
      <c r="K139" s="562">
        <f ca="1">тарифікація!R199</f>
        <v>5005</v>
      </c>
      <c r="L139" s="563">
        <f ca="1">тарифікація!Z199</f>
        <v>1001</v>
      </c>
      <c r="M139" s="563"/>
      <c r="N139" s="563">
        <f ca="1">тарифікація!AA199</f>
        <v>694</v>
      </c>
      <c r="O139" s="562">
        <f ca="1">тарифікація!AB199</f>
        <v>6700</v>
      </c>
      <c r="P139" s="563">
        <f t="shared" si="40"/>
        <v>80400</v>
      </c>
      <c r="Q139" s="566">
        <f ca="1">тарифікація!AD199</f>
        <v>13500</v>
      </c>
      <c r="R139" s="567">
        <f t="shared" si="41"/>
        <v>162000</v>
      </c>
      <c r="S139" s="566">
        <f t="shared" si="42"/>
        <v>6800</v>
      </c>
      <c r="T139" s="567">
        <f t="shared" si="42"/>
        <v>81600</v>
      </c>
      <c r="U139" s="567"/>
      <c r="V139" s="567"/>
      <c r="W139" s="567"/>
      <c r="X139" s="548" t="s">
        <v>655</v>
      </c>
      <c r="Y139" s="548" t="s">
        <v>655</v>
      </c>
    </row>
    <row r="140" spans="2:25" s="680" customFormat="1" ht="24.95" customHeight="1">
      <c r="B140" s="676">
        <v>5</v>
      </c>
      <c r="C140" s="687" t="s">
        <v>746</v>
      </c>
      <c r="D140" s="678">
        <v>5132</v>
      </c>
      <c r="E140" s="679"/>
      <c r="F140" s="679">
        <v>78</v>
      </c>
      <c r="G140" s="688" t="s">
        <v>729</v>
      </c>
      <c r="H140" s="557"/>
      <c r="I140" s="564" t="s">
        <v>663</v>
      </c>
      <c r="J140" s="584">
        <f ca="1">тарифікація!S212+тарифікація!T212</f>
        <v>5</v>
      </c>
      <c r="K140" s="562">
        <f ca="1">тарифікація!R212</f>
        <v>17070</v>
      </c>
      <c r="L140" s="563"/>
      <c r="M140" s="563">
        <f ca="1">тарифікація!W212</f>
        <v>1707.0000000000002</v>
      </c>
      <c r="N140" s="563">
        <f ca="1">тарифікація!AA212</f>
        <v>16430</v>
      </c>
      <c r="O140" s="562">
        <f ca="1">тарифікація!AB212</f>
        <v>35207</v>
      </c>
      <c r="P140" s="563">
        <f t="shared" si="40"/>
        <v>422484</v>
      </c>
      <c r="Q140" s="566">
        <f ca="1">тарифікація!AD212</f>
        <v>35207</v>
      </c>
      <c r="R140" s="567">
        <f t="shared" si="41"/>
        <v>422484</v>
      </c>
      <c r="S140" s="566">
        <f t="shared" si="42"/>
        <v>0</v>
      </c>
      <c r="T140" s="567">
        <f t="shared" si="42"/>
        <v>0</v>
      </c>
      <c r="U140" s="567"/>
      <c r="V140" s="567"/>
      <c r="W140" s="567"/>
      <c r="X140" s="548" t="s">
        <v>664</v>
      </c>
      <c r="Y140" s="548" t="s">
        <v>664</v>
      </c>
    </row>
    <row r="141" spans="2:25" s="680" customFormat="1" ht="24.95" customHeight="1">
      <c r="B141" s="676"/>
      <c r="C141" s="677"/>
      <c r="D141" s="668"/>
      <c r="E141" s="668"/>
      <c r="F141" s="668"/>
      <c r="G141" s="682"/>
      <c r="H141" s="557"/>
      <c r="I141" s="927" t="s">
        <v>653</v>
      </c>
      <c r="J141" s="585">
        <f ca="1">SUM(J135:J140)</f>
        <v>14</v>
      </c>
      <c r="K141" s="569"/>
      <c r="L141" s="569">
        <f t="shared" ref="L141:T141" si="43">SUM(L135:L140)</f>
        <v>14167.16</v>
      </c>
      <c r="M141" s="569">
        <f t="shared" si="43"/>
        <v>1707.0000000000002</v>
      </c>
      <c r="N141" s="569">
        <f t="shared" si="43"/>
        <v>17124</v>
      </c>
      <c r="O141" s="569">
        <f t="shared" si="43"/>
        <v>99927.86</v>
      </c>
      <c r="P141" s="581">
        <f t="shared" si="43"/>
        <v>1199134.3199999998</v>
      </c>
      <c r="Q141" s="570">
        <f t="shared" si="43"/>
        <v>169707</v>
      </c>
      <c r="R141" s="582">
        <f t="shared" si="43"/>
        <v>2036484</v>
      </c>
      <c r="S141" s="570">
        <f t="shared" si="43"/>
        <v>69779.14</v>
      </c>
      <c r="T141" s="582">
        <f t="shared" si="43"/>
        <v>837349.67999999993</v>
      </c>
      <c r="U141" s="582"/>
      <c r="V141" s="582"/>
      <c r="W141" s="582"/>
      <c r="X141" s="579"/>
      <c r="Y141" s="579"/>
    </row>
    <row r="142" spans="2:25" s="680" customFormat="1" ht="24.95" customHeight="1">
      <c r="B142" s="676"/>
      <c r="C142" s="677"/>
      <c r="D142" s="670"/>
      <c r="E142" s="671"/>
      <c r="F142" s="670"/>
      <c r="G142" s="683"/>
      <c r="H142" s="557"/>
      <c r="I142" s="558" t="s">
        <v>668</v>
      </c>
      <c r="J142" s="558"/>
      <c r="K142" s="558"/>
      <c r="L142" s="558"/>
      <c r="M142" s="558"/>
      <c r="N142" s="558"/>
      <c r="O142" s="558"/>
      <c r="P142" s="558"/>
      <c r="Q142" s="572"/>
      <c r="R142" s="572"/>
      <c r="S142" s="572"/>
      <c r="T142" s="572"/>
      <c r="U142" s="572"/>
      <c r="V142" s="572"/>
      <c r="W142" s="572"/>
      <c r="X142" s="548"/>
      <c r="Y142" s="548"/>
    </row>
    <row r="143" spans="2:25" s="680" customFormat="1" ht="24.95" customHeight="1">
      <c r="B143" s="676">
        <v>2</v>
      </c>
      <c r="C143" s="677" t="s">
        <v>752</v>
      </c>
      <c r="D143" s="678" t="s">
        <v>656</v>
      </c>
      <c r="E143" s="679">
        <v>20392</v>
      </c>
      <c r="F143" s="679">
        <v>78</v>
      </c>
      <c r="G143" s="688" t="s">
        <v>669</v>
      </c>
      <c r="H143" s="557"/>
      <c r="I143" s="583" t="s">
        <v>669</v>
      </c>
      <c r="J143" s="584">
        <f ca="1">тарифікація!S216+тарифікація!T216</f>
        <v>0.5</v>
      </c>
      <c r="K143" s="562">
        <f ca="1">тарифікація!R216</f>
        <v>6567</v>
      </c>
      <c r="L143" s="563">
        <f ca="1">тарифікація!Z216</f>
        <v>0</v>
      </c>
      <c r="M143" s="563"/>
      <c r="N143" s="563">
        <f ca="1">тарифікація!AA216</f>
        <v>66.5</v>
      </c>
      <c r="O143" s="563">
        <f ca="1">тарифікація!AB216</f>
        <v>3350</v>
      </c>
      <c r="P143" s="563">
        <f ca="1">O143*12</f>
        <v>40200</v>
      </c>
      <c r="Q143" s="567">
        <f ca="1">тарифікація!AD216</f>
        <v>10000</v>
      </c>
      <c r="R143" s="567">
        <f>Q143*12</f>
        <v>120000</v>
      </c>
      <c r="S143" s="566">
        <f t="shared" ref="S143:T147" si="44">Q143-O143</f>
        <v>6650</v>
      </c>
      <c r="T143" s="567">
        <f t="shared" si="44"/>
        <v>79800</v>
      </c>
      <c r="U143" s="567"/>
      <c r="V143" s="567"/>
      <c r="W143" s="567"/>
      <c r="X143" s="548" t="s">
        <v>643</v>
      </c>
      <c r="Y143" s="548" t="s">
        <v>643</v>
      </c>
    </row>
    <row r="144" spans="2:25" s="680" customFormat="1" ht="24.95" customHeight="1">
      <c r="B144" s="676">
        <v>2</v>
      </c>
      <c r="C144" s="677" t="s">
        <v>752</v>
      </c>
      <c r="D144" s="678" t="s">
        <v>656</v>
      </c>
      <c r="E144" s="679">
        <v>20392</v>
      </c>
      <c r="F144" s="679">
        <v>78</v>
      </c>
      <c r="G144" s="688" t="s">
        <v>669</v>
      </c>
      <c r="H144" s="557"/>
      <c r="I144" s="583" t="s">
        <v>669</v>
      </c>
      <c r="J144" s="584">
        <f ca="1">тарифікація!S217+тарифікація!T217</f>
        <v>0.5</v>
      </c>
      <c r="K144" s="562">
        <f ca="1">тарифікація!R217</f>
        <v>6567</v>
      </c>
      <c r="L144" s="563">
        <f ca="1">тарифікація!Z217</f>
        <v>1313.4</v>
      </c>
      <c r="M144" s="563"/>
      <c r="N144" s="563">
        <f ca="1">тарифікація!AA217</f>
        <v>0</v>
      </c>
      <c r="O144" s="563">
        <f ca="1">тарифікація!AB217</f>
        <v>3940.2</v>
      </c>
      <c r="P144" s="563">
        <f ca="1">O144*12</f>
        <v>47282.399999999994</v>
      </c>
      <c r="Q144" s="567">
        <f ca="1">тарифікація!AD217</f>
        <v>10000</v>
      </c>
      <c r="R144" s="567">
        <f>Q144*12</f>
        <v>120000</v>
      </c>
      <c r="S144" s="566">
        <f t="shared" si="44"/>
        <v>6059.8</v>
      </c>
      <c r="T144" s="567">
        <f t="shared" si="44"/>
        <v>72717.600000000006</v>
      </c>
      <c r="U144" s="567"/>
      <c r="V144" s="567"/>
      <c r="W144" s="567"/>
      <c r="X144" s="548" t="s">
        <v>643</v>
      </c>
      <c r="Y144" s="548" t="s">
        <v>643</v>
      </c>
    </row>
    <row r="145" spans="2:25" s="680" customFormat="1" ht="24.95" customHeight="1">
      <c r="B145" s="676">
        <v>3</v>
      </c>
      <c r="C145" s="677" t="s">
        <v>751</v>
      </c>
      <c r="D145" s="678">
        <v>3231</v>
      </c>
      <c r="E145" s="679">
        <v>24713</v>
      </c>
      <c r="F145" s="679">
        <v>78</v>
      </c>
      <c r="G145" s="688" t="s">
        <v>717</v>
      </c>
      <c r="H145" s="557"/>
      <c r="I145" s="564" t="s">
        <v>662</v>
      </c>
      <c r="J145" s="584">
        <f ca="1">тарифікація!S220</f>
        <v>1</v>
      </c>
      <c r="K145" s="562">
        <f ca="1">тарифікація!R220</f>
        <v>5505.5</v>
      </c>
      <c r="L145" s="563">
        <f ca="1">тарифікація!Z220</f>
        <v>1101.1000000000001</v>
      </c>
      <c r="M145" s="563"/>
      <c r="N145" s="563">
        <f ca="1">тарифікація!AA220</f>
        <v>93.399999999999864</v>
      </c>
      <c r="O145" s="563">
        <f ca="1">тарифікація!AB220</f>
        <v>6700</v>
      </c>
      <c r="P145" s="563">
        <f ca="1">O145*12</f>
        <v>80400</v>
      </c>
      <c r="Q145" s="567">
        <f ca="1">тарифікація!AD220</f>
        <v>13500</v>
      </c>
      <c r="R145" s="567">
        <f>Q145*12</f>
        <v>162000</v>
      </c>
      <c r="S145" s="566">
        <f t="shared" si="44"/>
        <v>6800</v>
      </c>
      <c r="T145" s="567">
        <f t="shared" si="44"/>
        <v>81600</v>
      </c>
      <c r="U145" s="567"/>
      <c r="V145" s="567"/>
      <c r="W145" s="567"/>
      <c r="X145" s="548" t="s">
        <v>655</v>
      </c>
      <c r="Y145" s="548" t="s">
        <v>655</v>
      </c>
    </row>
    <row r="146" spans="2:25" s="680" customFormat="1" ht="24.95" customHeight="1">
      <c r="B146" s="676">
        <v>3</v>
      </c>
      <c r="C146" s="677" t="s">
        <v>751</v>
      </c>
      <c r="D146" s="678">
        <v>3231</v>
      </c>
      <c r="E146" s="679" t="s">
        <v>500</v>
      </c>
      <c r="F146" s="679">
        <v>78</v>
      </c>
      <c r="G146" s="688" t="s">
        <v>728</v>
      </c>
      <c r="H146" s="557"/>
      <c r="I146" s="564" t="s">
        <v>1385</v>
      </c>
      <c r="J146" s="584">
        <f ca="1">тарифікація!S221+тарифікація!S222+тарифікація!S223+тарифікація!S224+тарифікація!S225</f>
        <v>5</v>
      </c>
      <c r="K146" s="562">
        <f ca="1">тарифікація!R221+тарифікація!R222+тарифікація!R223+тарифікація!R224+тарифікація!R225</f>
        <v>25025</v>
      </c>
      <c r="L146" s="563">
        <f ca="1">тарифікація!Z221+тарифікація!Z222+тарифікація!Z223+тарифікація!Z224+тарифікація!Z225</f>
        <v>7007</v>
      </c>
      <c r="M146" s="563"/>
      <c r="N146" s="563">
        <f ca="1">тарифікація!AA221+тарифікація!AA222+тарифікація!AA223+тарифікація!AA224+тарифікація!AA225</f>
        <v>1468</v>
      </c>
      <c r="O146" s="563">
        <f ca="1">тарифікація!AB221+тарифікація!AB222+тарифікація!AB223+тарифікація!AB224+тарифікація!AB225</f>
        <v>33500</v>
      </c>
      <c r="P146" s="563">
        <f ca="1">O146*12</f>
        <v>402000</v>
      </c>
      <c r="Q146" s="567">
        <f ca="1">тарифікація!AD221+тарифікація!AD222+тарифікація!AD223+тарифікація!AD224+тарифікація!AD225</f>
        <v>67500</v>
      </c>
      <c r="R146" s="567">
        <f>Q146*12</f>
        <v>810000</v>
      </c>
      <c r="S146" s="566">
        <f t="shared" si="44"/>
        <v>34000</v>
      </c>
      <c r="T146" s="567">
        <f t="shared" si="44"/>
        <v>408000</v>
      </c>
      <c r="U146" s="567"/>
      <c r="V146" s="567"/>
      <c r="W146" s="567"/>
      <c r="X146" s="548" t="s">
        <v>655</v>
      </c>
      <c r="Y146" s="548" t="s">
        <v>655</v>
      </c>
    </row>
    <row r="147" spans="2:25" s="680" customFormat="1" ht="24.95" customHeight="1">
      <c r="B147" s="676">
        <v>5</v>
      </c>
      <c r="C147" s="687" t="s">
        <v>746</v>
      </c>
      <c r="D147" s="678">
        <v>5132</v>
      </c>
      <c r="E147" s="679"/>
      <c r="F147" s="679">
        <v>78</v>
      </c>
      <c r="G147" s="688" t="s">
        <v>729</v>
      </c>
      <c r="H147" s="557"/>
      <c r="I147" s="564" t="s">
        <v>663</v>
      </c>
      <c r="J147" s="584">
        <f ca="1">тарифікація!S230+тарифікація!T230</f>
        <v>2</v>
      </c>
      <c r="K147" s="562">
        <f ca="1">тарифікація!R230</f>
        <v>6828</v>
      </c>
      <c r="L147" s="563"/>
      <c r="M147" s="563">
        <f ca="1">тарифікація!W230</f>
        <v>682.80000000000007</v>
      </c>
      <c r="N147" s="563">
        <f ca="1">тарифікація!AA230</f>
        <v>6572</v>
      </c>
      <c r="O147" s="562">
        <f ca="1">тарифікація!AB230</f>
        <v>14082.8</v>
      </c>
      <c r="P147" s="563">
        <f ca="1">O147*12</f>
        <v>168993.59999999998</v>
      </c>
      <c r="Q147" s="566">
        <f ca="1">тарифікація!AD230</f>
        <v>14082.8</v>
      </c>
      <c r="R147" s="567">
        <f>Q147*12</f>
        <v>168993.59999999998</v>
      </c>
      <c r="S147" s="566">
        <f t="shared" si="44"/>
        <v>0</v>
      </c>
      <c r="T147" s="567">
        <f t="shared" si="44"/>
        <v>0</v>
      </c>
      <c r="U147" s="567"/>
      <c r="V147" s="567"/>
      <c r="W147" s="567"/>
      <c r="X147" s="548" t="s">
        <v>664</v>
      </c>
      <c r="Y147" s="548" t="s">
        <v>664</v>
      </c>
    </row>
    <row r="148" spans="2:25" s="680" customFormat="1" ht="24.95" customHeight="1">
      <c r="B148" s="676"/>
      <c r="C148" s="677"/>
      <c r="D148" s="689"/>
      <c r="E148" s="689"/>
      <c r="F148" s="689"/>
      <c r="G148" s="690"/>
      <c r="H148" s="557"/>
      <c r="I148" s="568" t="s">
        <v>653</v>
      </c>
      <c r="J148" s="585">
        <f ca="1">SUM(J143:J147)</f>
        <v>9</v>
      </c>
      <c r="K148" s="569"/>
      <c r="L148" s="569">
        <f t="shared" ref="L148:T148" si="45">SUM(L143:L147)</f>
        <v>9421.5</v>
      </c>
      <c r="M148" s="569">
        <f t="shared" si="45"/>
        <v>682.80000000000007</v>
      </c>
      <c r="N148" s="569">
        <f t="shared" si="45"/>
        <v>8199.9</v>
      </c>
      <c r="O148" s="569">
        <f t="shared" si="45"/>
        <v>61573</v>
      </c>
      <c r="P148" s="569">
        <f t="shared" si="45"/>
        <v>738876</v>
      </c>
      <c r="Q148" s="570">
        <f t="shared" si="45"/>
        <v>115082.8</v>
      </c>
      <c r="R148" s="570">
        <f t="shared" si="45"/>
        <v>1380993.6</v>
      </c>
      <c r="S148" s="570">
        <f t="shared" si="45"/>
        <v>53509.8</v>
      </c>
      <c r="T148" s="570">
        <f t="shared" si="45"/>
        <v>642117.6</v>
      </c>
      <c r="U148" s="570"/>
      <c r="V148" s="570"/>
      <c r="W148" s="570"/>
      <c r="X148" s="578"/>
      <c r="Y148" s="578"/>
    </row>
    <row r="149" spans="2:25" s="680" customFormat="1" ht="24.95" customHeight="1">
      <c r="B149" s="676"/>
      <c r="C149" s="677"/>
      <c r="D149" s="689"/>
      <c r="E149" s="689"/>
      <c r="F149" s="689"/>
      <c r="G149" s="690"/>
      <c r="H149" s="557"/>
      <c r="I149" s="558" t="s">
        <v>754</v>
      </c>
      <c r="J149" s="558"/>
      <c r="K149" s="558"/>
      <c r="L149" s="558"/>
      <c r="M149" s="558"/>
      <c r="N149" s="558"/>
      <c r="O149" s="558"/>
      <c r="P149" s="558"/>
      <c r="Q149" s="572"/>
      <c r="R149" s="572"/>
      <c r="S149" s="572"/>
      <c r="T149" s="572"/>
      <c r="U149" s="572"/>
      <c r="V149" s="572"/>
      <c r="W149" s="572"/>
      <c r="X149" s="548"/>
      <c r="Y149" s="548"/>
    </row>
    <row r="150" spans="2:25" s="680" customFormat="1" ht="24.95" customHeight="1">
      <c r="B150" s="676">
        <v>1</v>
      </c>
      <c r="C150" s="677" t="s">
        <v>750</v>
      </c>
      <c r="D150" s="678" t="s">
        <v>654</v>
      </c>
      <c r="E150" s="679"/>
      <c r="F150" s="679">
        <v>78</v>
      </c>
      <c r="G150" s="688" t="s">
        <v>725</v>
      </c>
      <c r="H150" s="557"/>
      <c r="I150" s="564" t="s">
        <v>1273</v>
      </c>
      <c r="J150" s="584">
        <f ca="1">тарифікація!S234</f>
        <v>1</v>
      </c>
      <c r="K150" s="563">
        <f ca="1">тарифікація!R234</f>
        <v>12251.75</v>
      </c>
      <c r="L150" s="563">
        <f ca="1">тарифікація!Z234</f>
        <v>3675.5250000000001</v>
      </c>
      <c r="M150" s="563"/>
      <c r="N150" s="563"/>
      <c r="O150" s="563">
        <f ca="1">тарифікація!AB234</f>
        <v>15927.275</v>
      </c>
      <c r="P150" s="563">
        <f t="shared" ref="P150:P157" si="46">O150*12</f>
        <v>191127.3</v>
      </c>
      <c r="Q150" s="567">
        <f ca="1">тарифікація!AD234</f>
        <v>20000</v>
      </c>
      <c r="R150" s="567">
        <f t="shared" ref="R150:R157" si="47">Q150*12</f>
        <v>240000</v>
      </c>
      <c r="S150" s="566">
        <f>Q150-O150</f>
        <v>4072.7250000000004</v>
      </c>
      <c r="T150" s="567">
        <f>R150-P150</f>
        <v>48872.700000000012</v>
      </c>
      <c r="U150" s="567"/>
      <c r="V150" s="567"/>
      <c r="W150" s="567"/>
      <c r="X150" s="548" t="s">
        <v>643</v>
      </c>
      <c r="Y150" s="551" t="s">
        <v>645</v>
      </c>
    </row>
    <row r="151" spans="2:25" s="680" customFormat="1" ht="24.95" customHeight="1">
      <c r="B151" s="676">
        <v>2</v>
      </c>
      <c r="C151" s="677" t="s">
        <v>752</v>
      </c>
      <c r="D151" s="678" t="s">
        <v>656</v>
      </c>
      <c r="E151" s="679">
        <v>20517</v>
      </c>
      <c r="F151" s="679">
        <v>78</v>
      </c>
      <c r="G151" s="688" t="s">
        <v>1250</v>
      </c>
      <c r="H151" s="557"/>
      <c r="I151" s="564" t="s">
        <v>1274</v>
      </c>
      <c r="J151" s="584">
        <f ca="1">тарифікація!S235+тарифікація!T235+тарифікація!S236+тарифікація!T236+тарифікація!S237+тарифікація!T237+тарифікація!S238+тарифікація!T238+тарифікація!S239+тарифікація!T239+тарифікація!S240+тарифікація!T240+тарифікація!S241+тарифікація!T241+тарифікація!S242+тарифікація!T242</f>
        <v>6.25</v>
      </c>
      <c r="K151" s="563">
        <f ca="1">тарифікація!R235+тарифікація!R236+тарифікація!R237+тарифікація!R238+тарифікація!R239+тарифікація!R240+тарифікація!R241+тарифікація!R242</f>
        <v>61872.5</v>
      </c>
      <c r="L151" s="563">
        <f ca="1">тарифікація!Z235+тарифікація!Z236+тарифікація!Z237+тарифікація!Z238+тарифікація!Z239+тарифікація!Z240+тарифікація!Z241+тарифікація!Z242</f>
        <v>6404.25</v>
      </c>
      <c r="M151" s="563"/>
      <c r="N151" s="563"/>
      <c r="O151" s="563">
        <f ca="1">тарифікація!AB235++тарифікація!AB236+тарифікація!AB237+тарифікація!AB238+тарифікація!AB239+тарифікація!AB240+тарифікація!AB241+тарифікація!AB242</f>
        <v>53332.90625</v>
      </c>
      <c r="P151" s="563">
        <f t="shared" si="46"/>
        <v>639994.875</v>
      </c>
      <c r="Q151" s="567">
        <f ca="1">тарифікація!AD235+тарифікація!AD236+тарифікація!AD237+тарифікація!AD238+тарифікація!AD239+тарифікація!AD240+тарифікація!AD241+тарифікація!AD242</f>
        <v>125000</v>
      </c>
      <c r="R151" s="567">
        <f t="shared" si="47"/>
        <v>1500000</v>
      </c>
      <c r="S151" s="566">
        <f t="shared" ref="S151:T157" si="48">Q151-O151</f>
        <v>71667.09375</v>
      </c>
      <c r="T151" s="567">
        <f t="shared" si="48"/>
        <v>860005.125</v>
      </c>
      <c r="U151" s="567"/>
      <c r="V151" s="567"/>
      <c r="W151" s="567"/>
      <c r="X151" s="548" t="s">
        <v>643</v>
      </c>
      <c r="Y151" s="548" t="s">
        <v>643</v>
      </c>
    </row>
    <row r="152" spans="2:25" s="680" customFormat="1" ht="24.95" customHeight="1">
      <c r="B152" s="676">
        <v>2</v>
      </c>
      <c r="C152" s="677" t="s">
        <v>752</v>
      </c>
      <c r="D152" s="678" t="s">
        <v>656</v>
      </c>
      <c r="E152" s="679" t="s">
        <v>500</v>
      </c>
      <c r="F152" s="679">
        <v>78</v>
      </c>
      <c r="G152" s="688" t="s">
        <v>551</v>
      </c>
      <c r="H152" s="557"/>
      <c r="I152" s="580" t="s">
        <v>551</v>
      </c>
      <c r="J152" s="584">
        <f ca="1">тарифікація!S243</f>
        <v>1</v>
      </c>
      <c r="K152" s="563">
        <f ca="1">тарифікація!R243</f>
        <v>7123.75</v>
      </c>
      <c r="L152" s="563">
        <f ca="1">тарифікація!Z243</f>
        <v>712.375</v>
      </c>
      <c r="M152" s="563"/>
      <c r="N152" s="563"/>
      <c r="O152" s="563">
        <f ca="1">тарифікація!AB243</f>
        <v>7836.125</v>
      </c>
      <c r="P152" s="563">
        <f t="shared" si="46"/>
        <v>94033.5</v>
      </c>
      <c r="Q152" s="567">
        <f ca="1">тарифікація!AD243</f>
        <v>20000</v>
      </c>
      <c r="R152" s="567">
        <f t="shared" si="47"/>
        <v>240000</v>
      </c>
      <c r="S152" s="566">
        <f t="shared" si="48"/>
        <v>12163.875</v>
      </c>
      <c r="T152" s="567">
        <f t="shared" si="48"/>
        <v>145966.5</v>
      </c>
      <c r="U152" s="567"/>
      <c r="V152" s="567"/>
      <c r="W152" s="567"/>
      <c r="X152" s="548" t="s">
        <v>643</v>
      </c>
      <c r="Y152" s="548" t="s">
        <v>643</v>
      </c>
    </row>
    <row r="153" spans="2:25" s="680" customFormat="1" ht="24.95" customHeight="1">
      <c r="B153" s="676">
        <v>2</v>
      </c>
      <c r="C153" s="677" t="s">
        <v>752</v>
      </c>
      <c r="D153" s="678" t="s">
        <v>656</v>
      </c>
      <c r="E153" s="679">
        <v>20502</v>
      </c>
      <c r="F153" s="679">
        <v>78</v>
      </c>
      <c r="G153" s="688" t="s">
        <v>1249</v>
      </c>
      <c r="H153" s="557"/>
      <c r="I153" s="580" t="s">
        <v>1249</v>
      </c>
      <c r="J153" s="584">
        <f ca="1">тарифікація!S244+тарифікація!T244</f>
        <v>0.25</v>
      </c>
      <c r="K153" s="563">
        <f ca="1">тарифікація!R244</f>
        <v>8751.25</v>
      </c>
      <c r="L153" s="563">
        <f ca="1">тарифікація!Z244</f>
        <v>1750.25</v>
      </c>
      <c r="M153" s="563"/>
      <c r="N153" s="563"/>
      <c r="O153" s="563">
        <f ca="1">тарифікація!AB244</f>
        <v>2625.375</v>
      </c>
      <c r="P153" s="563">
        <f t="shared" si="46"/>
        <v>31504.5</v>
      </c>
      <c r="Q153" s="567">
        <f ca="1">тарифікація!AD244</f>
        <v>5000</v>
      </c>
      <c r="R153" s="567">
        <f t="shared" si="47"/>
        <v>60000</v>
      </c>
      <c r="S153" s="566">
        <f t="shared" si="48"/>
        <v>2374.625</v>
      </c>
      <c r="T153" s="567">
        <f t="shared" si="48"/>
        <v>28495.5</v>
      </c>
      <c r="U153" s="567"/>
      <c r="V153" s="567"/>
      <c r="W153" s="567"/>
      <c r="X153" s="548" t="s">
        <v>643</v>
      </c>
      <c r="Y153" s="548" t="s">
        <v>643</v>
      </c>
    </row>
    <row r="154" spans="2:25" s="680" customFormat="1" ht="24.95" customHeight="1">
      <c r="B154" s="676">
        <v>3</v>
      </c>
      <c r="C154" s="677" t="s">
        <v>751</v>
      </c>
      <c r="D154" s="678">
        <v>3231</v>
      </c>
      <c r="E154" s="679">
        <v>24713</v>
      </c>
      <c r="F154" s="679">
        <v>78</v>
      </c>
      <c r="G154" s="688" t="s">
        <v>717</v>
      </c>
      <c r="H154" s="557"/>
      <c r="I154" s="564" t="s">
        <v>662</v>
      </c>
      <c r="J154" s="584">
        <f ca="1">тарифікація!S247</f>
        <v>1</v>
      </c>
      <c r="K154" s="563">
        <f ca="1">тарифікація!R247</f>
        <v>5505.5</v>
      </c>
      <c r="L154" s="563">
        <f ca="1">тарифікація!Z247</f>
        <v>1651.6499999999999</v>
      </c>
      <c r="M154" s="563"/>
      <c r="N154" s="563"/>
      <c r="O154" s="563">
        <f ca="1">тарифікація!AB247</f>
        <v>7157.15</v>
      </c>
      <c r="P154" s="563">
        <f t="shared" si="46"/>
        <v>85885.799999999988</v>
      </c>
      <c r="Q154" s="567">
        <f ca="1">тарифікація!AD247</f>
        <v>13500</v>
      </c>
      <c r="R154" s="567">
        <f t="shared" si="47"/>
        <v>162000</v>
      </c>
      <c r="S154" s="566">
        <f t="shared" si="48"/>
        <v>6342.85</v>
      </c>
      <c r="T154" s="567">
        <f t="shared" si="48"/>
        <v>76114.200000000012</v>
      </c>
      <c r="U154" s="567"/>
      <c r="V154" s="567"/>
      <c r="W154" s="567"/>
      <c r="X154" s="548" t="s">
        <v>655</v>
      </c>
      <c r="Y154" s="548" t="s">
        <v>655</v>
      </c>
    </row>
    <row r="155" spans="2:25" s="680" customFormat="1" ht="24.95" customHeight="1">
      <c r="B155" s="676">
        <v>3</v>
      </c>
      <c r="C155" s="677" t="s">
        <v>751</v>
      </c>
      <c r="D155" s="678">
        <v>3231</v>
      </c>
      <c r="E155" s="679" t="s">
        <v>500</v>
      </c>
      <c r="F155" s="679">
        <v>78</v>
      </c>
      <c r="G155" s="688" t="s">
        <v>728</v>
      </c>
      <c r="H155" s="557"/>
      <c r="I155" s="564" t="s">
        <v>1306</v>
      </c>
      <c r="J155" s="584">
        <f ca="1">тарифікація!S248+тарифікація!S249+тарифікація!S250+тарифікація!S251+тарифікація!S252</f>
        <v>5</v>
      </c>
      <c r="K155" s="563">
        <f ca="1">тарифікація!R248+тарифікація!R249+тарифікація!R250+тарифікація!R251+тарифікація!R252</f>
        <v>25025</v>
      </c>
      <c r="L155" s="563">
        <f ca="1">тарифікація!Z248+тарифікація!Z249+тарифікація!Z250+тарифікація!Z251+тарифікація!Z252</f>
        <v>7507.5</v>
      </c>
      <c r="M155" s="563"/>
      <c r="N155" s="563"/>
      <c r="O155" s="563">
        <f ca="1">тарифікація!AB248+тарифікація!AB249+тарифікація!AB250+тарифікація!AB251+тарифікація!AB252</f>
        <v>33500</v>
      </c>
      <c r="P155" s="563">
        <f t="shared" si="46"/>
        <v>402000</v>
      </c>
      <c r="Q155" s="567">
        <f ca="1">тарифікація!AD248+тарифікація!AD249+тарифікація!AD250+тарифікація!AD251+тарифікація!AD252</f>
        <v>67500</v>
      </c>
      <c r="R155" s="567">
        <f t="shared" si="47"/>
        <v>810000</v>
      </c>
      <c r="S155" s="566">
        <f t="shared" si="48"/>
        <v>34000</v>
      </c>
      <c r="T155" s="567">
        <f t="shared" si="48"/>
        <v>408000</v>
      </c>
      <c r="U155" s="567"/>
      <c r="V155" s="567"/>
      <c r="W155" s="567"/>
      <c r="X155" s="548" t="s">
        <v>655</v>
      </c>
      <c r="Y155" s="548" t="s">
        <v>655</v>
      </c>
    </row>
    <row r="156" spans="2:25" s="680" customFormat="1" ht="24.95" customHeight="1">
      <c r="B156" s="676">
        <v>3</v>
      </c>
      <c r="C156" s="677" t="s">
        <v>751</v>
      </c>
      <c r="D156" s="678">
        <v>3231</v>
      </c>
      <c r="E156" s="679" t="s">
        <v>500</v>
      </c>
      <c r="F156" s="679">
        <v>78</v>
      </c>
      <c r="G156" s="688" t="s">
        <v>728</v>
      </c>
      <c r="H156" s="557"/>
      <c r="I156" s="564" t="s">
        <v>670</v>
      </c>
      <c r="J156" s="584">
        <f ca="1">тарифікація!S253</f>
        <v>1</v>
      </c>
      <c r="K156" s="563">
        <f ca="1">тарифікація!R253</f>
        <v>5265</v>
      </c>
      <c r="L156" s="563">
        <f ca="1">тарифікація!Z253</f>
        <v>1579.5</v>
      </c>
      <c r="M156" s="563"/>
      <c r="N156" s="563"/>
      <c r="O156" s="563">
        <f ca="1">тарифікація!AB253</f>
        <v>6844.5</v>
      </c>
      <c r="P156" s="563">
        <f t="shared" si="46"/>
        <v>82134</v>
      </c>
      <c r="Q156" s="567">
        <f ca="1">тарифікація!AD253</f>
        <v>13500</v>
      </c>
      <c r="R156" s="567">
        <f t="shared" si="47"/>
        <v>162000</v>
      </c>
      <c r="S156" s="566">
        <f t="shared" si="48"/>
        <v>6655.5</v>
      </c>
      <c r="T156" s="567">
        <f t="shared" si="48"/>
        <v>79866</v>
      </c>
      <c r="U156" s="567"/>
      <c r="V156" s="567"/>
      <c r="W156" s="567"/>
      <c r="X156" s="548" t="s">
        <v>655</v>
      </c>
      <c r="Y156" s="548" t="s">
        <v>655</v>
      </c>
    </row>
    <row r="157" spans="2:25" s="680" customFormat="1" ht="24.95" customHeight="1">
      <c r="B157" s="676">
        <v>5</v>
      </c>
      <c r="C157" s="687" t="s">
        <v>746</v>
      </c>
      <c r="D157" s="678">
        <v>5132</v>
      </c>
      <c r="E157" s="679"/>
      <c r="F157" s="679">
        <v>78</v>
      </c>
      <c r="G157" s="688" t="s">
        <v>729</v>
      </c>
      <c r="H157" s="557"/>
      <c r="I157" s="564" t="s">
        <v>663</v>
      </c>
      <c r="J157" s="584">
        <f ca="1">тарифікація!S267+тарифікація!T267</f>
        <v>5</v>
      </c>
      <c r="K157" s="563">
        <f ca="1">тарифікація!R267</f>
        <v>17070</v>
      </c>
      <c r="L157" s="563"/>
      <c r="M157" s="563">
        <f ca="1">тарифікація!W267</f>
        <v>1707.0000000000002</v>
      </c>
      <c r="N157" s="563">
        <f ca="1">тарифікація!AA267</f>
        <v>16430</v>
      </c>
      <c r="O157" s="562">
        <f ca="1">тарифікація!AB267</f>
        <v>35207</v>
      </c>
      <c r="P157" s="563">
        <f t="shared" si="46"/>
        <v>422484</v>
      </c>
      <c r="Q157" s="566">
        <f ca="1">тарифікація!AD267</f>
        <v>35207</v>
      </c>
      <c r="R157" s="567">
        <f t="shared" si="47"/>
        <v>422484</v>
      </c>
      <c r="S157" s="566">
        <f t="shared" si="48"/>
        <v>0</v>
      </c>
      <c r="T157" s="567">
        <f t="shared" si="48"/>
        <v>0</v>
      </c>
      <c r="U157" s="567"/>
      <c r="V157" s="567"/>
      <c r="W157" s="567"/>
      <c r="X157" s="548" t="s">
        <v>664</v>
      </c>
      <c r="Y157" s="548" t="s">
        <v>664</v>
      </c>
    </row>
    <row r="158" spans="2:25" s="680" customFormat="1" ht="24.95" customHeight="1">
      <c r="B158" s="676"/>
      <c r="C158" s="677"/>
      <c r="D158" s="689"/>
      <c r="E158" s="689"/>
      <c r="F158" s="689"/>
      <c r="G158" s="690"/>
      <c r="H158" s="557"/>
      <c r="I158" s="558" t="s">
        <v>1723</v>
      </c>
      <c r="J158" s="558"/>
      <c r="K158" s="558"/>
      <c r="L158" s="558"/>
      <c r="M158" s="558"/>
      <c r="N158" s="558"/>
      <c r="O158" s="558"/>
      <c r="P158" s="558"/>
      <c r="Q158" s="572"/>
      <c r="R158" s="572"/>
      <c r="S158" s="572"/>
      <c r="T158" s="572"/>
      <c r="U158" s="572"/>
      <c r="V158" s="572"/>
      <c r="W158" s="572"/>
      <c r="X158" s="548"/>
      <c r="Y158" s="548"/>
    </row>
    <row r="159" spans="2:25" s="680" customFormat="1" ht="24.95" customHeight="1">
      <c r="B159" s="676">
        <v>3</v>
      </c>
      <c r="C159" s="677" t="s">
        <v>751</v>
      </c>
      <c r="D159" s="678">
        <v>3231</v>
      </c>
      <c r="E159" s="679">
        <v>24722</v>
      </c>
      <c r="F159" s="679">
        <v>78</v>
      </c>
      <c r="G159" s="688" t="s">
        <v>731</v>
      </c>
      <c r="H159" s="557"/>
      <c r="I159" s="564" t="s">
        <v>1408</v>
      </c>
      <c r="J159" s="584">
        <f ca="1">тарифікація!S260+тарифікація!T260</f>
        <v>4</v>
      </c>
      <c r="K159" s="563">
        <f ca="1">тарифікація!R260</f>
        <v>20250</v>
      </c>
      <c r="L159" s="563">
        <f ca="1">тарифікація!Z260</f>
        <v>4738.5</v>
      </c>
      <c r="M159" s="563"/>
      <c r="N159" s="563">
        <f ca="1">тарифікація!AA260</f>
        <v>2245</v>
      </c>
      <c r="O159" s="563">
        <f ca="1">тарифікація!AB260</f>
        <v>27233.5</v>
      </c>
      <c r="P159" s="563">
        <f ca="1">O159*12</f>
        <v>326802</v>
      </c>
      <c r="Q159" s="567">
        <f ca="1">тарифікація!AD260</f>
        <v>54000</v>
      </c>
      <c r="R159" s="567">
        <f>Q159*12</f>
        <v>648000</v>
      </c>
      <c r="S159" s="566">
        <f>Q159-O159</f>
        <v>26766.5</v>
      </c>
      <c r="T159" s="567">
        <f>R159-P159</f>
        <v>321198</v>
      </c>
      <c r="U159" s="567"/>
      <c r="V159" s="567"/>
      <c r="W159" s="567"/>
      <c r="X159" s="548" t="s">
        <v>655</v>
      </c>
      <c r="Y159" s="548" t="s">
        <v>655</v>
      </c>
    </row>
    <row r="160" spans="2:25" s="680" customFormat="1" ht="24.95" customHeight="1">
      <c r="B160" s="676">
        <v>5</v>
      </c>
      <c r="C160" s="687" t="s">
        <v>746</v>
      </c>
      <c r="D160" s="678">
        <v>5132</v>
      </c>
      <c r="E160" s="679"/>
      <c r="F160" s="679">
        <v>78</v>
      </c>
      <c r="G160" s="688" t="s">
        <v>729</v>
      </c>
      <c r="H160" s="557"/>
      <c r="I160" s="564" t="s">
        <v>671</v>
      </c>
      <c r="J160" s="584">
        <f ca="1">тарифікація!S273+тарифікація!T273</f>
        <v>4</v>
      </c>
      <c r="K160" s="563">
        <f ca="1">тарифікація!R273</f>
        <v>14696</v>
      </c>
      <c r="L160" s="563"/>
      <c r="M160" s="563">
        <f ca="1">тарифікація!W273</f>
        <v>1469.6000000000001</v>
      </c>
      <c r="N160" s="563">
        <f ca="1">тарифікація!AA273</f>
        <v>12104</v>
      </c>
      <c r="O160" s="563">
        <f ca="1">тарифікація!AB273</f>
        <v>28269.599999999999</v>
      </c>
      <c r="P160" s="563">
        <f ca="1">O160*12</f>
        <v>339235.19999999995</v>
      </c>
      <c r="Q160" s="567">
        <f ca="1">тарифікація!AD273</f>
        <v>28269.599999999999</v>
      </c>
      <c r="R160" s="567">
        <f>Q160*12</f>
        <v>339235.19999999995</v>
      </c>
      <c r="S160" s="566">
        <f>Q160-O160</f>
        <v>0</v>
      </c>
      <c r="T160" s="567">
        <f>R160-P160</f>
        <v>0</v>
      </c>
      <c r="U160" s="567"/>
      <c r="V160" s="567"/>
      <c r="W160" s="567"/>
      <c r="X160" s="548" t="s">
        <v>664</v>
      </c>
      <c r="Y160" s="548" t="s">
        <v>664</v>
      </c>
    </row>
    <row r="161" spans="2:25" s="680" customFormat="1" ht="24.95" customHeight="1">
      <c r="B161" s="676"/>
      <c r="C161" s="677"/>
      <c r="D161" s="670"/>
      <c r="E161" s="670"/>
      <c r="F161" s="670"/>
      <c r="G161" s="683"/>
      <c r="H161" s="557"/>
      <c r="I161" s="568" t="s">
        <v>653</v>
      </c>
      <c r="J161" s="585">
        <f ca="1">SUM(J150:J160)</f>
        <v>28.5</v>
      </c>
      <c r="K161" s="581">
        <f t="shared" ref="K161:T161" si="49">SUM(K150:K160)</f>
        <v>177810.75</v>
      </c>
      <c r="L161" s="581">
        <f t="shared" si="49"/>
        <v>28019.55</v>
      </c>
      <c r="M161" s="581">
        <f t="shared" si="49"/>
        <v>3176.6000000000004</v>
      </c>
      <c r="N161" s="581">
        <f t="shared" si="49"/>
        <v>30779</v>
      </c>
      <c r="O161" s="581">
        <f t="shared" si="49"/>
        <v>217933.43124999999</v>
      </c>
      <c r="P161" s="581">
        <f t="shared" si="49"/>
        <v>2615201.1749999998</v>
      </c>
      <c r="Q161" s="581">
        <f t="shared" si="49"/>
        <v>381976.6</v>
      </c>
      <c r="R161" s="581">
        <f t="shared" si="49"/>
        <v>4583719.2</v>
      </c>
      <c r="S161" s="581">
        <f t="shared" si="49"/>
        <v>164043.16875000001</v>
      </c>
      <c r="T161" s="581">
        <f t="shared" si="49"/>
        <v>1968518.0249999999</v>
      </c>
      <c r="U161" s="582"/>
      <c r="V161" s="582"/>
      <c r="W161" s="582"/>
      <c r="X161" s="578"/>
      <c r="Y161" s="578"/>
    </row>
    <row r="162" spans="2:25" s="680" customFormat="1" ht="24.95" customHeight="1">
      <c r="B162" s="676"/>
      <c r="C162" s="677"/>
      <c r="D162" s="670"/>
      <c r="E162" s="671"/>
      <c r="F162" s="670"/>
      <c r="G162" s="683"/>
      <c r="H162" s="557"/>
      <c r="I162" s="558" t="s">
        <v>672</v>
      </c>
      <c r="J162" s="558"/>
      <c r="K162" s="558"/>
      <c r="L162" s="558"/>
      <c r="M162" s="558"/>
      <c r="N162" s="558"/>
      <c r="O162" s="558"/>
      <c r="P162" s="558"/>
      <c r="Q162" s="572"/>
      <c r="R162" s="572"/>
      <c r="S162" s="572"/>
      <c r="T162" s="572"/>
      <c r="U162" s="572"/>
      <c r="V162" s="572"/>
      <c r="W162" s="572"/>
      <c r="X162" s="548"/>
      <c r="Y162" s="548"/>
    </row>
    <row r="163" spans="2:25" s="680" customFormat="1" ht="24.95" customHeight="1">
      <c r="B163" s="676">
        <v>1</v>
      </c>
      <c r="C163" s="677" t="s">
        <v>750</v>
      </c>
      <c r="D163" s="678" t="s">
        <v>654</v>
      </c>
      <c r="E163" s="679"/>
      <c r="F163" s="679">
        <v>78</v>
      </c>
      <c r="G163" s="688" t="s">
        <v>725</v>
      </c>
      <c r="H163" s="557"/>
      <c r="I163" s="564" t="s">
        <v>673</v>
      </c>
      <c r="J163" s="584">
        <f ca="1">тарифікація!S277</f>
        <v>1</v>
      </c>
      <c r="K163" s="563">
        <f ca="1">тарифікація!R277</f>
        <v>10711.53</v>
      </c>
      <c r="L163" s="562">
        <f ca="1">тарифікація!Z277</f>
        <v>0</v>
      </c>
      <c r="M163" s="562"/>
      <c r="N163" s="562"/>
      <c r="O163" s="563">
        <f ca="1">тарифікація!AB277</f>
        <v>10711.53</v>
      </c>
      <c r="P163" s="563">
        <f t="shared" ref="P163:P168" si="50">O163*12</f>
        <v>128538.36000000002</v>
      </c>
      <c r="Q163" s="567">
        <f ca="1">тарифікація!AD277</f>
        <v>20000</v>
      </c>
      <c r="R163" s="567">
        <f t="shared" ref="R163:R168" si="51">Q163*12</f>
        <v>240000</v>
      </c>
      <c r="S163" s="566">
        <f t="shared" ref="S163:T168" si="52">Q163-O163</f>
        <v>9288.4699999999993</v>
      </c>
      <c r="T163" s="567">
        <f t="shared" si="52"/>
        <v>111461.63999999998</v>
      </c>
      <c r="U163" s="567"/>
      <c r="V163" s="567"/>
      <c r="W163" s="567"/>
      <c r="X163" s="548" t="s">
        <v>643</v>
      </c>
      <c r="Y163" s="551" t="s">
        <v>645</v>
      </c>
    </row>
    <row r="164" spans="2:25" s="680" customFormat="1" ht="24.95" customHeight="1">
      <c r="B164" s="676">
        <v>2</v>
      </c>
      <c r="C164" s="677" t="s">
        <v>752</v>
      </c>
      <c r="D164" s="678" t="s">
        <v>656</v>
      </c>
      <c r="E164" s="679" t="s">
        <v>500</v>
      </c>
      <c r="F164" s="679">
        <v>78</v>
      </c>
      <c r="G164" s="688" t="s">
        <v>726</v>
      </c>
      <c r="H164" s="557"/>
      <c r="I164" s="564" t="s">
        <v>1263</v>
      </c>
      <c r="J164" s="584">
        <f ca="1">тарифікація!S278+тарифікація!S279+тарифікація!S280+тарифікація!S281+тарифікація!S282+тарифікація!T282+тарифікація!S283+тарифікація!T283</f>
        <v>5.5</v>
      </c>
      <c r="K164" s="563">
        <f ca="1">тарифікація!R278+тарифікація!R279+тарифікація!R280+тарифікація!R281+тарифікація!R282+тарифікація!R283</f>
        <v>44314.099999999991</v>
      </c>
      <c r="L164" s="562">
        <f ca="1">тарифікація!Z278+тарифікація!Z279+тарифікація!Z280+тарифікація!Z281+тарифікація!Z282+тарифікація!Z283</f>
        <v>6896.665</v>
      </c>
      <c r="M164" s="562"/>
      <c r="N164" s="562">
        <f ca="1">тарифікація!AA278+тарифікація!AA279+тарифікація!AA280+тарифікація!AA281+тарифікація!AA282+тарифікація!AA283</f>
        <v>146.14999999999964</v>
      </c>
      <c r="O164" s="563">
        <f ca="1">тарифікація!AB278+тарифікація!AB279+тарифікація!AB280+тарифікація!AB281+тарифікація!AB282+тарифікація!AB283</f>
        <v>47125.145000000004</v>
      </c>
      <c r="P164" s="563">
        <f t="shared" si="50"/>
        <v>565501.74</v>
      </c>
      <c r="Q164" s="563">
        <f ca="1">тарифікація!AD278+тарифікація!AD279+тарифікація!AD280+тарифікація!AD281+тарифікація!AD282+тарифікація!AD283</f>
        <v>110000</v>
      </c>
      <c r="R164" s="567">
        <f t="shared" si="51"/>
        <v>1320000</v>
      </c>
      <c r="S164" s="566">
        <f t="shared" si="52"/>
        <v>62874.854999999996</v>
      </c>
      <c r="T164" s="567">
        <f t="shared" si="52"/>
        <v>754498.26</v>
      </c>
      <c r="U164" s="567"/>
      <c r="V164" s="567"/>
      <c r="W164" s="567"/>
      <c r="X164" s="548" t="s">
        <v>643</v>
      </c>
      <c r="Y164" s="548" t="s">
        <v>643</v>
      </c>
    </row>
    <row r="165" spans="2:25" s="680" customFormat="1" ht="24.95" customHeight="1">
      <c r="B165" s="676">
        <v>3</v>
      </c>
      <c r="C165" s="677" t="s">
        <v>751</v>
      </c>
      <c r="D165" s="678">
        <v>3231</v>
      </c>
      <c r="E165" s="679">
        <v>24713</v>
      </c>
      <c r="F165" s="679">
        <v>78</v>
      </c>
      <c r="G165" s="688" t="s">
        <v>717</v>
      </c>
      <c r="H165" s="557"/>
      <c r="I165" s="564" t="s">
        <v>662</v>
      </c>
      <c r="J165" s="584">
        <f ca="1">тарифікація!S286</f>
        <v>1</v>
      </c>
      <c r="K165" s="563">
        <f ca="1">тарифікація!R286</f>
        <v>6331.3249999999998</v>
      </c>
      <c r="L165" s="563">
        <f ca="1">тарифікація!Z286</f>
        <v>1899.3974999999998</v>
      </c>
      <c r="M165" s="563"/>
      <c r="N165" s="563"/>
      <c r="O165" s="563">
        <f ca="1">тарифікація!AB286</f>
        <v>8230.7224999999999</v>
      </c>
      <c r="P165" s="563">
        <f t="shared" si="50"/>
        <v>98768.67</v>
      </c>
      <c r="Q165" s="567">
        <f ca="1">тарифікація!AD286</f>
        <v>13500</v>
      </c>
      <c r="R165" s="567">
        <f t="shared" si="51"/>
        <v>162000</v>
      </c>
      <c r="S165" s="566">
        <f t="shared" si="52"/>
        <v>5269.2775000000001</v>
      </c>
      <c r="T165" s="567">
        <f t="shared" si="52"/>
        <v>63231.33</v>
      </c>
      <c r="U165" s="567"/>
      <c r="V165" s="567"/>
      <c r="W165" s="567"/>
      <c r="X165" s="548" t="s">
        <v>655</v>
      </c>
      <c r="Y165" s="548" t="s">
        <v>655</v>
      </c>
    </row>
    <row r="166" spans="2:25" s="680" customFormat="1" ht="24.95" customHeight="1">
      <c r="B166" s="676">
        <v>3</v>
      </c>
      <c r="C166" s="677" t="s">
        <v>751</v>
      </c>
      <c r="D166" s="678">
        <v>3231</v>
      </c>
      <c r="E166" s="679">
        <v>24716</v>
      </c>
      <c r="F166" s="679">
        <v>78</v>
      </c>
      <c r="G166" s="688" t="s">
        <v>732</v>
      </c>
      <c r="H166" s="557"/>
      <c r="I166" s="564" t="s">
        <v>1345</v>
      </c>
      <c r="J166" s="584">
        <f ca="1">тарифікація!S287+тарифікація!S288+тарифікація!S289+тарифікація!S290</f>
        <v>4</v>
      </c>
      <c r="K166" s="563">
        <f ca="1">тарифікація!R287+тарифікація!R288+тарифікація!R289+тарифікація!R290</f>
        <v>24219</v>
      </c>
      <c r="L166" s="562">
        <f ca="1">тарифікація!Z287+тарифікація!Z288+тарифікація!Z289+тарифікація!Z290</f>
        <v>7265.7</v>
      </c>
      <c r="M166" s="562"/>
      <c r="N166" s="562"/>
      <c r="O166" s="563">
        <f ca="1">тарифікація!AB287+тарифікація!AB288+тарифікація!AB289+тарифікація!AB290</f>
        <v>31484.7</v>
      </c>
      <c r="P166" s="563">
        <f t="shared" si="50"/>
        <v>377816.4</v>
      </c>
      <c r="Q166" s="567">
        <f ca="1">тарифікація!AD287+тарифікація!AD288+тарифікація!AD289+тарифікація!AD290</f>
        <v>54000</v>
      </c>
      <c r="R166" s="567">
        <f t="shared" si="51"/>
        <v>648000</v>
      </c>
      <c r="S166" s="566">
        <f t="shared" si="52"/>
        <v>22515.3</v>
      </c>
      <c r="T166" s="567">
        <f t="shared" si="52"/>
        <v>270183.59999999998</v>
      </c>
      <c r="U166" s="567"/>
      <c r="V166" s="567"/>
      <c r="W166" s="567"/>
      <c r="X166" s="548" t="s">
        <v>655</v>
      </c>
      <c r="Y166" s="548" t="s">
        <v>655</v>
      </c>
    </row>
    <row r="167" spans="2:25" s="680" customFormat="1" ht="24.95" customHeight="1">
      <c r="B167" s="676">
        <v>3</v>
      </c>
      <c r="C167" s="677" t="s">
        <v>751</v>
      </c>
      <c r="D167" s="678">
        <v>3231</v>
      </c>
      <c r="E167" s="679" t="s">
        <v>500</v>
      </c>
      <c r="F167" s="679">
        <v>78</v>
      </c>
      <c r="G167" s="688" t="s">
        <v>728</v>
      </c>
      <c r="H167" s="557"/>
      <c r="I167" s="564" t="s">
        <v>1306</v>
      </c>
      <c r="J167" s="584">
        <f ca="1">тарифікація!S291+тарифікація!S292+тарифікація!S293+тарифікація!S294+тарифікація!S295</f>
        <v>5</v>
      </c>
      <c r="K167" s="563">
        <f ca="1">тарифікація!R291+тарифікація!R292+тарифікація!R293+тарифікація!R294+тарифікація!R295</f>
        <v>28180.75</v>
      </c>
      <c r="L167" s="562">
        <f ca="1">тарифікація!Z291+тарифікація!Z292+тарифікація!Z293+тарифікація!Z294+тарифікація!Z295</f>
        <v>7362.875</v>
      </c>
      <c r="M167" s="562"/>
      <c r="N167" s="562">
        <f ca="1">тарифікація!AA291+тарифікація!AA292+тарифікація!AA293+тарифікація!AA294+тарифікація!AA295</f>
        <v>303.79999999999973</v>
      </c>
      <c r="O167" s="563">
        <f ca="1">тарифікація!AB291+тарифікація!AB292+тарифікація!AB293+тарифікація!AB294+тарифікація!AB295</f>
        <v>35847.425000000003</v>
      </c>
      <c r="P167" s="563">
        <f t="shared" si="50"/>
        <v>430169.10000000003</v>
      </c>
      <c r="Q167" s="567">
        <f ca="1">тарифікація!AD291+тарифікація!AD292+тарифікація!AD293+тарифікація!AD294+тарифікація!AD295</f>
        <v>67500</v>
      </c>
      <c r="R167" s="567">
        <f t="shared" si="51"/>
        <v>810000</v>
      </c>
      <c r="S167" s="566">
        <f t="shared" si="52"/>
        <v>31652.574999999997</v>
      </c>
      <c r="T167" s="567">
        <f t="shared" si="52"/>
        <v>379830.89999999997</v>
      </c>
      <c r="U167" s="567"/>
      <c r="V167" s="567"/>
      <c r="W167" s="567"/>
      <c r="X167" s="548" t="s">
        <v>655</v>
      </c>
      <c r="Y167" s="548" t="s">
        <v>655</v>
      </c>
    </row>
    <row r="168" spans="2:25" s="680" customFormat="1" ht="24.95" customHeight="1">
      <c r="B168" s="676">
        <v>5</v>
      </c>
      <c r="C168" s="687" t="s">
        <v>746</v>
      </c>
      <c r="D168" s="678">
        <v>5132</v>
      </c>
      <c r="E168" s="679"/>
      <c r="F168" s="679">
        <v>78</v>
      </c>
      <c r="G168" s="688" t="s">
        <v>729</v>
      </c>
      <c r="H168" s="557"/>
      <c r="I168" s="564" t="s">
        <v>595</v>
      </c>
      <c r="J168" s="584">
        <f ca="1">тарифікація!S303+тарифікація!T303</f>
        <v>5</v>
      </c>
      <c r="K168" s="563">
        <f ca="1">тарифікація!R303</f>
        <v>19630.5</v>
      </c>
      <c r="L168" s="562"/>
      <c r="M168" s="562">
        <f ca="1">тарифікація!W303</f>
        <v>1963.0500000000002</v>
      </c>
      <c r="N168" s="562">
        <f ca="1">тарифікація!AA303</f>
        <v>13869.5</v>
      </c>
      <c r="O168" s="563">
        <f ca="1">тарифікація!AB303</f>
        <v>35463.050000000003</v>
      </c>
      <c r="P168" s="563">
        <f t="shared" si="50"/>
        <v>425556.60000000003</v>
      </c>
      <c r="Q168" s="567">
        <f ca="1">тарифікація!AD303</f>
        <v>35463.050000000003</v>
      </c>
      <c r="R168" s="567">
        <f t="shared" si="51"/>
        <v>425556.60000000003</v>
      </c>
      <c r="S168" s="566">
        <f t="shared" si="52"/>
        <v>0</v>
      </c>
      <c r="T168" s="567">
        <f t="shared" si="52"/>
        <v>0</v>
      </c>
      <c r="U168" s="567"/>
      <c r="V168" s="567"/>
      <c r="W168" s="567"/>
      <c r="X168" s="548" t="s">
        <v>664</v>
      </c>
      <c r="Y168" s="548" t="s">
        <v>664</v>
      </c>
    </row>
    <row r="169" spans="2:25" s="680" customFormat="1" ht="24.95" customHeight="1">
      <c r="B169" s="676"/>
      <c r="C169" s="677"/>
      <c r="D169" s="670"/>
      <c r="E169" s="670"/>
      <c r="F169" s="670"/>
      <c r="G169" s="683"/>
      <c r="H169" s="557"/>
      <c r="I169" s="568" t="s">
        <v>653</v>
      </c>
      <c r="J169" s="585">
        <f>SUM(J163:J168)</f>
        <v>21.5</v>
      </c>
      <c r="K169" s="581"/>
      <c r="L169" s="569">
        <f t="shared" ref="L169:T169" si="53">SUM(L163:L168)</f>
        <v>23424.637500000001</v>
      </c>
      <c r="M169" s="569">
        <f t="shared" si="53"/>
        <v>1963.0500000000002</v>
      </c>
      <c r="N169" s="569">
        <f t="shared" si="53"/>
        <v>14319.449999999999</v>
      </c>
      <c r="O169" s="569">
        <f t="shared" si="53"/>
        <v>168862.57250000001</v>
      </c>
      <c r="P169" s="569">
        <f t="shared" si="53"/>
        <v>2026350.87</v>
      </c>
      <c r="Q169" s="570">
        <f>SUM(Q163:Q168)</f>
        <v>300463.05</v>
      </c>
      <c r="R169" s="570">
        <f t="shared" si="53"/>
        <v>3605556.6</v>
      </c>
      <c r="S169" s="570">
        <f t="shared" si="53"/>
        <v>131600.47749999998</v>
      </c>
      <c r="T169" s="570">
        <f t="shared" si="53"/>
        <v>1579205.73</v>
      </c>
      <c r="U169" s="570"/>
      <c r="V169" s="570"/>
      <c r="W169" s="570"/>
      <c r="X169" s="579"/>
      <c r="Y169" s="579"/>
    </row>
    <row r="170" spans="2:25" s="680" customFormat="1" ht="24.95" customHeight="1">
      <c r="B170" s="676"/>
      <c r="C170" s="677"/>
      <c r="D170" s="689"/>
      <c r="E170" s="689"/>
      <c r="F170" s="689"/>
      <c r="G170" s="690"/>
      <c r="H170" s="557"/>
      <c r="I170" s="558" t="s">
        <v>686</v>
      </c>
      <c r="J170" s="558"/>
      <c r="K170" s="558"/>
      <c r="L170" s="558"/>
      <c r="M170" s="558"/>
      <c r="N170" s="558"/>
      <c r="O170" s="558"/>
      <c r="P170" s="558"/>
      <c r="Q170" s="572"/>
      <c r="R170" s="572"/>
      <c r="S170" s="572"/>
      <c r="T170" s="572"/>
      <c r="U170" s="572"/>
      <c r="V170" s="572"/>
      <c r="W170" s="572"/>
      <c r="X170" s="548"/>
      <c r="Y170" s="548"/>
    </row>
    <row r="171" spans="2:25" s="680" customFormat="1" ht="24.95" customHeight="1">
      <c r="B171" s="676"/>
      <c r="C171" s="677"/>
      <c r="D171" s="689"/>
      <c r="E171" s="689"/>
      <c r="F171" s="689"/>
      <c r="G171" s="690"/>
      <c r="H171" s="557"/>
      <c r="I171" s="558" t="s">
        <v>1726</v>
      </c>
      <c r="J171" s="558"/>
      <c r="K171" s="558"/>
      <c r="L171" s="558"/>
      <c r="M171" s="558"/>
      <c r="N171" s="558"/>
      <c r="O171" s="558"/>
      <c r="P171" s="558"/>
      <c r="Q171" s="572"/>
      <c r="R171" s="572"/>
      <c r="S171" s="572"/>
      <c r="T171" s="572"/>
      <c r="U171" s="572"/>
      <c r="V171" s="572"/>
      <c r="W171" s="572"/>
      <c r="X171" s="548"/>
      <c r="Y171" s="548"/>
    </row>
    <row r="172" spans="2:25" s="680" customFormat="1" ht="24.95" customHeight="1">
      <c r="B172" s="676">
        <v>2</v>
      </c>
      <c r="C172" s="677" t="s">
        <v>752</v>
      </c>
      <c r="D172" s="678" t="s">
        <v>656</v>
      </c>
      <c r="E172" s="679">
        <v>20408</v>
      </c>
      <c r="F172" s="679">
        <v>78</v>
      </c>
      <c r="G172" s="688" t="s">
        <v>562</v>
      </c>
      <c r="H172" s="557"/>
      <c r="I172" s="564" t="s">
        <v>687</v>
      </c>
      <c r="J172" s="584">
        <f ca="1">тарифікація!S308+тарифікація!S309</f>
        <v>2</v>
      </c>
      <c r="K172" s="563">
        <f ca="1">тарифікація!R308+тарифікація!R309</f>
        <v>10530</v>
      </c>
      <c r="L172" s="563">
        <f ca="1">тарифікація!Z308+тарифікація!Z309</f>
        <v>1053</v>
      </c>
      <c r="M172" s="563"/>
      <c r="N172" s="563">
        <f ca="1">тарифікація!AA308+тарифікація!AA309</f>
        <v>2870</v>
      </c>
      <c r="O172" s="563">
        <f ca="1">тарифікація!AB308+тарифікація!AB309</f>
        <v>13400</v>
      </c>
      <c r="P172" s="563">
        <f ca="1">O172*12</f>
        <v>160800</v>
      </c>
      <c r="Q172" s="567">
        <f ca="1">тарифікація!AD308+тарифікація!AD309</f>
        <v>40000</v>
      </c>
      <c r="R172" s="567">
        <f>Q172*12</f>
        <v>480000</v>
      </c>
      <c r="S172" s="566">
        <f t="shared" ref="S172:T175" si="54">Q172-O172</f>
        <v>26600</v>
      </c>
      <c r="T172" s="567">
        <f t="shared" si="54"/>
        <v>319200</v>
      </c>
      <c r="U172" s="567"/>
      <c r="V172" s="567"/>
      <c r="W172" s="567"/>
      <c r="X172" s="548" t="s">
        <v>643</v>
      </c>
      <c r="Y172" s="548" t="s">
        <v>643</v>
      </c>
    </row>
    <row r="173" spans="2:25" s="680" customFormat="1" ht="24.95" customHeight="1">
      <c r="B173" s="676">
        <v>3</v>
      </c>
      <c r="C173" s="677" t="s">
        <v>751</v>
      </c>
      <c r="D173" s="678">
        <v>3231</v>
      </c>
      <c r="E173" s="679">
        <v>24713</v>
      </c>
      <c r="F173" s="679">
        <v>78</v>
      </c>
      <c r="G173" s="688" t="s">
        <v>717</v>
      </c>
      <c r="H173" s="557"/>
      <c r="I173" s="564" t="s">
        <v>662</v>
      </c>
      <c r="J173" s="584">
        <f ca="1">тарифікація!S312</f>
        <v>1</v>
      </c>
      <c r="K173" s="563">
        <f ca="1">тарифікація!R312</f>
        <v>5505.5</v>
      </c>
      <c r="L173" s="563">
        <f ca="1">тарифікація!Z312</f>
        <v>1651.6499999999999</v>
      </c>
      <c r="M173" s="563"/>
      <c r="N173" s="563"/>
      <c r="O173" s="563">
        <f ca="1">тарифікація!AB312</f>
        <v>7157.15</v>
      </c>
      <c r="P173" s="563">
        <f ca="1">O173*12</f>
        <v>85885.799999999988</v>
      </c>
      <c r="Q173" s="567">
        <f ca="1">тарифікація!AD312</f>
        <v>13500</v>
      </c>
      <c r="R173" s="567">
        <f>Q173*12</f>
        <v>162000</v>
      </c>
      <c r="S173" s="566">
        <f t="shared" si="54"/>
        <v>6342.85</v>
      </c>
      <c r="T173" s="567">
        <f t="shared" si="54"/>
        <v>76114.200000000012</v>
      </c>
      <c r="U173" s="567"/>
      <c r="V173" s="567"/>
      <c r="W173" s="567"/>
      <c r="X173" s="548" t="s">
        <v>655</v>
      </c>
      <c r="Y173" s="548" t="s">
        <v>655</v>
      </c>
    </row>
    <row r="174" spans="2:25" s="680" customFormat="1" ht="24.95" customHeight="1">
      <c r="B174" s="676">
        <v>3</v>
      </c>
      <c r="C174" s="677" t="s">
        <v>751</v>
      </c>
      <c r="D174" s="678">
        <v>3231</v>
      </c>
      <c r="E174" s="679" t="s">
        <v>500</v>
      </c>
      <c r="F174" s="679">
        <v>78</v>
      </c>
      <c r="G174" s="688" t="s">
        <v>728</v>
      </c>
      <c r="H174" s="557"/>
      <c r="I174" s="564" t="s">
        <v>1306</v>
      </c>
      <c r="J174" s="584">
        <f ca="1">тарифікація!S313+тарифікація!S314+тарифікація!S315+тарифікація!S316+тарифікація!S317</f>
        <v>5</v>
      </c>
      <c r="K174" s="563">
        <f ca="1">тарифікація!R313+тарифікація!R314+тарифікація!R315+тарифікація!R316+тарифікація!R317</f>
        <v>23405</v>
      </c>
      <c r="L174" s="563">
        <f ca="1">тарифікація!Z313+тарифікація!Z314+тарифікація!Z315+тарифікація!Z316+тарифікація!Z317</f>
        <v>6182.5</v>
      </c>
      <c r="M174" s="563"/>
      <c r="N174" s="563">
        <f ca="1">тарифікація!AA313+тарифікація!AA314+тарифікація!AA315+тарифікація!AA316+тарифікація!AA317</f>
        <v>3912.5</v>
      </c>
      <c r="O174" s="563">
        <f ca="1">тарифікація!AB313+тарифікація!AB314+тарифікація!AB315+тарифікація!AB316+тарифікація!AB317</f>
        <v>33500</v>
      </c>
      <c r="P174" s="563">
        <f ca="1">O174*12</f>
        <v>402000</v>
      </c>
      <c r="Q174" s="567">
        <f ca="1">тарифікація!AD313+тарифікація!AD314+тарифікація!AD315+тарифікація!AD316+тарифікація!AD317</f>
        <v>67500</v>
      </c>
      <c r="R174" s="567">
        <f>Q174*12</f>
        <v>810000</v>
      </c>
      <c r="S174" s="566">
        <f t="shared" si="54"/>
        <v>34000</v>
      </c>
      <c r="T174" s="567">
        <f t="shared" si="54"/>
        <v>408000</v>
      </c>
      <c r="U174" s="567"/>
      <c r="V174" s="567"/>
      <c r="W174" s="567"/>
      <c r="X174" s="548" t="s">
        <v>655</v>
      </c>
      <c r="Y174" s="548" t="s">
        <v>655</v>
      </c>
    </row>
    <row r="175" spans="2:25" s="680" customFormat="1" ht="24.95" customHeight="1">
      <c r="B175" s="676">
        <v>5</v>
      </c>
      <c r="C175" s="687" t="s">
        <v>746</v>
      </c>
      <c r="D175" s="678">
        <v>5132</v>
      </c>
      <c r="E175" s="679"/>
      <c r="F175" s="679">
        <v>78</v>
      </c>
      <c r="G175" s="688" t="s">
        <v>729</v>
      </c>
      <c r="H175" s="557"/>
      <c r="I175" s="564" t="s">
        <v>671</v>
      </c>
      <c r="J175" s="584">
        <f ca="1">тарифікація!S325+тарифікація!T325</f>
        <v>5</v>
      </c>
      <c r="K175" s="563">
        <f ca="1">тарифікація!R325</f>
        <v>17070</v>
      </c>
      <c r="L175" s="563"/>
      <c r="M175" s="563">
        <f ca="1">тарифікація!W325</f>
        <v>1707.0000000000002</v>
      </c>
      <c r="N175" s="563">
        <f ca="1">тарифікація!AA325</f>
        <v>16430</v>
      </c>
      <c r="O175" s="563">
        <f ca="1">тарифікація!AB325</f>
        <v>35207</v>
      </c>
      <c r="P175" s="563">
        <f ca="1">O175*12</f>
        <v>422484</v>
      </c>
      <c r="Q175" s="567">
        <f ca="1">тарифікація!AD325</f>
        <v>35207</v>
      </c>
      <c r="R175" s="567">
        <f>Q175*12</f>
        <v>422484</v>
      </c>
      <c r="S175" s="566">
        <f t="shared" si="54"/>
        <v>0</v>
      </c>
      <c r="T175" s="567">
        <f t="shared" si="54"/>
        <v>0</v>
      </c>
      <c r="U175" s="567"/>
      <c r="V175" s="567"/>
      <c r="W175" s="567"/>
      <c r="X175" s="548" t="s">
        <v>664</v>
      </c>
      <c r="Y175" s="548" t="s">
        <v>664</v>
      </c>
    </row>
    <row r="176" spans="2:25" s="680" customFormat="1" ht="24.95" customHeight="1">
      <c r="B176" s="676"/>
      <c r="C176" s="677"/>
      <c r="D176" s="670"/>
      <c r="E176" s="670"/>
      <c r="F176" s="670"/>
      <c r="G176" s="683"/>
      <c r="H176" s="557"/>
      <c r="I176" s="568" t="s">
        <v>653</v>
      </c>
      <c r="J176" s="585">
        <f ca="1">SUM(J172:J175)</f>
        <v>13</v>
      </c>
      <c r="K176" s="581"/>
      <c r="L176" s="581">
        <f t="shared" ref="L176:T176" si="55">SUM(L172:L175)</f>
        <v>8887.15</v>
      </c>
      <c r="M176" s="581">
        <f t="shared" si="55"/>
        <v>1707.0000000000002</v>
      </c>
      <c r="N176" s="581">
        <f t="shared" si="55"/>
        <v>23212.5</v>
      </c>
      <c r="O176" s="581">
        <f t="shared" si="55"/>
        <v>89264.15</v>
      </c>
      <c r="P176" s="581">
        <f t="shared" si="55"/>
        <v>1071169.8</v>
      </c>
      <c r="Q176" s="582">
        <f t="shared" si="55"/>
        <v>156207</v>
      </c>
      <c r="R176" s="582">
        <f t="shared" si="55"/>
        <v>1874484</v>
      </c>
      <c r="S176" s="582">
        <f t="shared" si="55"/>
        <v>66942.850000000006</v>
      </c>
      <c r="T176" s="582">
        <f t="shared" si="55"/>
        <v>803314.2</v>
      </c>
      <c r="U176" s="582"/>
      <c r="V176" s="582"/>
      <c r="W176" s="582"/>
      <c r="X176" s="578"/>
      <c r="Y176" s="578"/>
    </row>
    <row r="177" spans="2:25" s="680" customFormat="1" ht="24.95" customHeight="1">
      <c r="B177" s="676"/>
      <c r="C177" s="677"/>
      <c r="D177" s="689"/>
      <c r="E177" s="689"/>
      <c r="F177" s="689"/>
      <c r="G177" s="690"/>
      <c r="H177" s="557"/>
      <c r="I177" s="558" t="s">
        <v>688</v>
      </c>
      <c r="J177" s="558"/>
      <c r="K177" s="558"/>
      <c r="L177" s="558"/>
      <c r="M177" s="558"/>
      <c r="N177" s="558"/>
      <c r="O177" s="558"/>
      <c r="P177" s="558"/>
      <c r="Q177" s="572"/>
      <c r="R177" s="572"/>
      <c r="S177" s="572"/>
      <c r="T177" s="572"/>
      <c r="U177" s="572"/>
      <c r="V177" s="572"/>
      <c r="W177" s="572"/>
      <c r="X177" s="548"/>
      <c r="Y177" s="548"/>
    </row>
    <row r="178" spans="2:25" s="680" customFormat="1" ht="24.95" customHeight="1">
      <c r="B178" s="676">
        <v>3</v>
      </c>
      <c r="C178" s="677" t="s">
        <v>751</v>
      </c>
      <c r="D178" s="678">
        <v>3231</v>
      </c>
      <c r="E178" s="679">
        <v>24713</v>
      </c>
      <c r="F178" s="679">
        <v>78</v>
      </c>
      <c r="G178" s="688" t="s">
        <v>717</v>
      </c>
      <c r="H178" s="557"/>
      <c r="I178" s="564" t="s">
        <v>689</v>
      </c>
      <c r="J178" s="584">
        <f ca="1">тарифікація!S329</f>
        <v>1</v>
      </c>
      <c r="K178" s="563">
        <f ca="1">тарифікація!R329</f>
        <v>5005</v>
      </c>
      <c r="L178" s="563">
        <f ca="1">тарифікація!Z329</f>
        <v>1501.5</v>
      </c>
      <c r="M178" s="563"/>
      <c r="N178" s="563">
        <f ca="1">тарифікація!AA329</f>
        <v>193.5</v>
      </c>
      <c r="O178" s="563">
        <f ca="1">тарифікація!AB329</f>
        <v>6700</v>
      </c>
      <c r="P178" s="563">
        <f ca="1">O178*12</f>
        <v>80400</v>
      </c>
      <c r="Q178" s="567">
        <f ca="1">тарифікація!AD329</f>
        <v>13500</v>
      </c>
      <c r="R178" s="567">
        <f>Q178*12</f>
        <v>162000</v>
      </c>
      <c r="S178" s="566">
        <f>Q178-O178</f>
        <v>6800</v>
      </c>
      <c r="T178" s="567">
        <f>R178-P178</f>
        <v>81600</v>
      </c>
      <c r="U178" s="567"/>
      <c r="V178" s="567"/>
      <c r="W178" s="567"/>
      <c r="X178" s="548" t="s">
        <v>655</v>
      </c>
      <c r="Y178" s="548" t="s">
        <v>655</v>
      </c>
    </row>
    <row r="179" spans="2:25" s="680" customFormat="1" ht="24.95" customHeight="1">
      <c r="B179" s="676"/>
      <c r="C179" s="677"/>
      <c r="D179" s="670"/>
      <c r="E179" s="670"/>
      <c r="F179" s="670"/>
      <c r="G179" s="683"/>
      <c r="H179" s="557"/>
      <c r="I179" s="568" t="s">
        <v>653</v>
      </c>
      <c r="J179" s="585">
        <f>J178</f>
        <v>1</v>
      </c>
      <c r="K179" s="581"/>
      <c r="L179" s="581">
        <f t="shared" ref="L179:T179" si="56">L178</f>
        <v>1501.5</v>
      </c>
      <c r="M179" s="581">
        <f t="shared" si="56"/>
        <v>0</v>
      </c>
      <c r="N179" s="581">
        <f t="shared" si="56"/>
        <v>193.5</v>
      </c>
      <c r="O179" s="581">
        <f t="shared" si="56"/>
        <v>6700</v>
      </c>
      <c r="P179" s="581">
        <f t="shared" si="56"/>
        <v>80400</v>
      </c>
      <c r="Q179" s="582">
        <f t="shared" si="56"/>
        <v>13500</v>
      </c>
      <c r="R179" s="582">
        <f t="shared" si="56"/>
        <v>162000</v>
      </c>
      <c r="S179" s="582">
        <f t="shared" si="56"/>
        <v>6800</v>
      </c>
      <c r="T179" s="582">
        <f t="shared" si="56"/>
        <v>81600</v>
      </c>
      <c r="U179" s="582"/>
      <c r="V179" s="582"/>
      <c r="W179" s="582"/>
      <c r="X179" s="578"/>
      <c r="Y179" s="578"/>
    </row>
    <row r="180" spans="2:25" s="680" customFormat="1" ht="24.95" customHeight="1">
      <c r="B180" s="676"/>
      <c r="C180" s="677"/>
      <c r="D180" s="689"/>
      <c r="E180" s="689"/>
      <c r="F180" s="689"/>
      <c r="G180" s="690"/>
      <c r="H180" s="557"/>
      <c r="I180" s="558" t="s">
        <v>674</v>
      </c>
      <c r="J180" s="558"/>
      <c r="K180" s="558"/>
      <c r="L180" s="558"/>
      <c r="M180" s="558"/>
      <c r="N180" s="558"/>
      <c r="O180" s="558"/>
      <c r="P180" s="558"/>
      <c r="Q180" s="572"/>
      <c r="R180" s="572"/>
      <c r="S180" s="572"/>
      <c r="T180" s="572"/>
      <c r="U180" s="572"/>
      <c r="V180" s="572"/>
      <c r="W180" s="572"/>
      <c r="X180" s="548"/>
      <c r="Y180" s="548"/>
    </row>
    <row r="181" spans="2:25" s="680" customFormat="1" ht="24.95" customHeight="1">
      <c r="B181" s="676"/>
      <c r="C181" s="677"/>
      <c r="D181" s="689"/>
      <c r="E181" s="689"/>
      <c r="F181" s="689"/>
      <c r="G181" s="690"/>
      <c r="H181" s="557"/>
      <c r="I181" s="558" t="s">
        <v>675</v>
      </c>
      <c r="J181" s="558"/>
      <c r="K181" s="558"/>
      <c r="L181" s="558"/>
      <c r="M181" s="558"/>
      <c r="N181" s="558"/>
      <c r="O181" s="558"/>
      <c r="P181" s="558"/>
      <c r="Q181" s="572"/>
      <c r="R181" s="572"/>
      <c r="S181" s="572"/>
      <c r="T181" s="572"/>
      <c r="U181" s="572"/>
      <c r="V181" s="572"/>
      <c r="W181" s="572"/>
      <c r="X181" s="548"/>
      <c r="Y181" s="548"/>
    </row>
    <row r="182" spans="2:25" s="680" customFormat="1" ht="24.95" customHeight="1">
      <c r="B182" s="676">
        <v>1</v>
      </c>
      <c r="C182" s="677" t="s">
        <v>750</v>
      </c>
      <c r="D182" s="678" t="s">
        <v>654</v>
      </c>
      <c r="E182" s="679"/>
      <c r="F182" s="679">
        <v>78</v>
      </c>
      <c r="G182" s="688" t="s">
        <v>725</v>
      </c>
      <c r="H182" s="557"/>
      <c r="I182" s="564" t="s">
        <v>676</v>
      </c>
      <c r="J182" s="584">
        <f ca="1">тарифікація!S335</f>
        <v>1</v>
      </c>
      <c r="K182" s="563">
        <f ca="1">тарифікація!R335</f>
        <v>8307.2549999999992</v>
      </c>
      <c r="L182" s="562">
        <f ca="1">тарифікація!Z335</f>
        <v>2492.1764999999996</v>
      </c>
      <c r="M182" s="562"/>
      <c r="N182" s="562"/>
      <c r="O182" s="563">
        <f ca="1">тарифікація!AB335</f>
        <v>10799.431499999999</v>
      </c>
      <c r="P182" s="563">
        <f ca="1">O182*12</f>
        <v>129593.17799999999</v>
      </c>
      <c r="Q182" s="567">
        <f ca="1">тарифікація!AD335</f>
        <v>20000</v>
      </c>
      <c r="R182" s="567">
        <f>Q182*12</f>
        <v>240000</v>
      </c>
      <c r="S182" s="566">
        <f t="shared" ref="S182:T185" si="57">Q182-O182</f>
        <v>9200.5685000000012</v>
      </c>
      <c r="T182" s="567">
        <f t="shared" si="57"/>
        <v>110406.82200000001</v>
      </c>
      <c r="U182" s="567"/>
      <c r="V182" s="567"/>
      <c r="W182" s="567"/>
      <c r="X182" s="548" t="s">
        <v>643</v>
      </c>
      <c r="Y182" s="551" t="s">
        <v>645</v>
      </c>
    </row>
    <row r="183" spans="2:25" s="680" customFormat="1" ht="24.95" customHeight="1">
      <c r="B183" s="676">
        <v>2</v>
      </c>
      <c r="C183" s="677" t="s">
        <v>752</v>
      </c>
      <c r="D183" s="678" t="s">
        <v>677</v>
      </c>
      <c r="E183" s="679">
        <v>20275</v>
      </c>
      <c r="F183" s="679">
        <v>25</v>
      </c>
      <c r="G183" s="688" t="s">
        <v>1290</v>
      </c>
      <c r="H183" s="557"/>
      <c r="I183" s="564" t="s">
        <v>1290</v>
      </c>
      <c r="J183" s="584">
        <f ca="1">тарифікація!S336</f>
        <v>1</v>
      </c>
      <c r="K183" s="563">
        <f ca="1">тарифікація!R336</f>
        <v>7552.05</v>
      </c>
      <c r="L183" s="562">
        <f ca="1">тарифікація!Z336</f>
        <v>2265.6149999999998</v>
      </c>
      <c r="M183" s="562"/>
      <c r="N183" s="562"/>
      <c r="O183" s="563">
        <f ca="1">тарифікація!AB336</f>
        <v>9817.6650000000009</v>
      </c>
      <c r="P183" s="563">
        <f ca="1">O183*12</f>
        <v>117811.98000000001</v>
      </c>
      <c r="Q183" s="567">
        <f ca="1">тарифікація!AD336</f>
        <v>20000</v>
      </c>
      <c r="R183" s="567">
        <f>Q183*12</f>
        <v>240000</v>
      </c>
      <c r="S183" s="566">
        <f t="shared" si="57"/>
        <v>10182.334999999999</v>
      </c>
      <c r="T183" s="567">
        <f t="shared" si="57"/>
        <v>122188.01999999999</v>
      </c>
      <c r="U183" s="567"/>
      <c r="V183" s="567"/>
      <c r="W183" s="567"/>
      <c r="X183" s="548" t="s">
        <v>643</v>
      </c>
      <c r="Y183" s="548" t="s">
        <v>643</v>
      </c>
    </row>
    <row r="184" spans="2:25" s="680" customFormat="1" ht="24.95" customHeight="1">
      <c r="B184" s="676">
        <v>3</v>
      </c>
      <c r="C184" s="677" t="s">
        <v>751</v>
      </c>
      <c r="D184" s="678">
        <v>3221</v>
      </c>
      <c r="E184" s="679">
        <v>23157</v>
      </c>
      <c r="F184" s="679">
        <v>78</v>
      </c>
      <c r="G184" s="688" t="s">
        <v>733</v>
      </c>
      <c r="H184" s="557"/>
      <c r="I184" s="564" t="s">
        <v>1402</v>
      </c>
      <c r="J184" s="584">
        <f ca="1">тарифікація!S345+тарифікація!T345</f>
        <v>6</v>
      </c>
      <c r="K184" s="563">
        <f ca="1">тарифікація!R345</f>
        <v>35431.5</v>
      </c>
      <c r="L184" s="586">
        <f ca="1">тарифікація!Z345</f>
        <v>8962.5249999999996</v>
      </c>
      <c r="M184" s="587"/>
      <c r="N184" s="586">
        <f ca="1">тарифікація!AA345</f>
        <v>697.57499999999993</v>
      </c>
      <c r="O184" s="563">
        <f ca="1">тарифікація!AB345</f>
        <v>45091.600000000006</v>
      </c>
      <c r="P184" s="563">
        <f ca="1">O184*12</f>
        <v>541099.20000000007</v>
      </c>
      <c r="Q184" s="567">
        <f ca="1">тарифікація!AD345</f>
        <v>81000</v>
      </c>
      <c r="R184" s="567">
        <f>Q184*12</f>
        <v>972000</v>
      </c>
      <c r="S184" s="566">
        <f t="shared" si="57"/>
        <v>35908.399999999994</v>
      </c>
      <c r="T184" s="567">
        <f t="shared" si="57"/>
        <v>430900.79999999993</v>
      </c>
      <c r="U184" s="567"/>
      <c r="V184" s="567"/>
      <c r="W184" s="567"/>
      <c r="X184" s="548" t="s">
        <v>655</v>
      </c>
      <c r="Y184" s="548" t="s">
        <v>655</v>
      </c>
    </row>
    <row r="185" spans="2:25" s="680" customFormat="1" ht="24.95" customHeight="1">
      <c r="B185" s="676"/>
      <c r="C185" s="677"/>
      <c r="D185" s="678"/>
      <c r="E185" s="679"/>
      <c r="F185" s="679"/>
      <c r="G185" s="688"/>
      <c r="H185" s="557"/>
      <c r="I185" s="564" t="s">
        <v>671</v>
      </c>
      <c r="J185" s="584">
        <f ca="1">тарифікація!S347</f>
        <v>1</v>
      </c>
      <c r="K185" s="563">
        <f ca="1">тарифікація!R347</f>
        <v>3414</v>
      </c>
      <c r="L185" s="586"/>
      <c r="M185" s="586">
        <f ca="1">тарифікація!W347</f>
        <v>341.40000000000003</v>
      </c>
      <c r="N185" s="586">
        <f ca="1">тарифікація!AA347</f>
        <v>3286</v>
      </c>
      <c r="O185" s="563">
        <f ca="1">тарифікація!AB347</f>
        <v>7041.4</v>
      </c>
      <c r="P185" s="563">
        <f ca="1">O185*12</f>
        <v>84496.799999999988</v>
      </c>
      <c r="Q185" s="567">
        <f ca="1">тарифікація!AD347</f>
        <v>7041.4</v>
      </c>
      <c r="R185" s="567">
        <f>Q185*12</f>
        <v>84496.799999999988</v>
      </c>
      <c r="S185" s="566">
        <f t="shared" si="57"/>
        <v>0</v>
      </c>
      <c r="T185" s="567">
        <f t="shared" si="57"/>
        <v>0</v>
      </c>
      <c r="U185" s="567"/>
      <c r="V185" s="567"/>
      <c r="W185" s="567"/>
      <c r="X185" s="548"/>
      <c r="Y185" s="548" t="s">
        <v>664</v>
      </c>
    </row>
    <row r="186" spans="2:25" s="680" customFormat="1" ht="24.95" customHeight="1">
      <c r="B186" s="676"/>
      <c r="C186" s="677"/>
      <c r="D186" s="670"/>
      <c r="E186" s="670"/>
      <c r="F186" s="670"/>
      <c r="G186" s="683"/>
      <c r="H186" s="557"/>
      <c r="I186" s="568" t="s">
        <v>653</v>
      </c>
      <c r="J186" s="588">
        <f ca="1">SUM(J182:J185)</f>
        <v>9</v>
      </c>
      <c r="K186" s="614">
        <f t="shared" ref="K186:T186" si="58">SUM(K182:K185)</f>
        <v>54704.805</v>
      </c>
      <c r="L186" s="614">
        <f t="shared" si="58"/>
        <v>13720.316499999999</v>
      </c>
      <c r="M186" s="614">
        <f t="shared" si="58"/>
        <v>341.40000000000003</v>
      </c>
      <c r="N186" s="614">
        <f t="shared" si="58"/>
        <v>3983.5749999999998</v>
      </c>
      <c r="O186" s="614">
        <f t="shared" si="58"/>
        <v>72750.0965</v>
      </c>
      <c r="P186" s="614">
        <f t="shared" si="58"/>
        <v>873001.15800000005</v>
      </c>
      <c r="Q186" s="614">
        <f t="shared" si="58"/>
        <v>128041.4</v>
      </c>
      <c r="R186" s="614">
        <f t="shared" si="58"/>
        <v>1536496.8</v>
      </c>
      <c r="S186" s="614">
        <f t="shared" si="58"/>
        <v>55291.303499999995</v>
      </c>
      <c r="T186" s="614">
        <f t="shared" si="58"/>
        <v>663495.64199999999</v>
      </c>
      <c r="U186" s="582"/>
      <c r="V186" s="582"/>
      <c r="W186" s="582"/>
      <c r="X186" s="578"/>
      <c r="Y186" s="578"/>
    </row>
    <row r="187" spans="2:25" s="680" customFormat="1" ht="24.95" customHeight="1">
      <c r="B187" s="676"/>
      <c r="C187" s="677"/>
      <c r="D187" s="689"/>
      <c r="E187" s="689"/>
      <c r="F187" s="689"/>
      <c r="G187" s="690"/>
      <c r="H187" s="557"/>
      <c r="I187" s="558" t="s">
        <v>678</v>
      </c>
      <c r="J187" s="558"/>
      <c r="K187" s="558"/>
      <c r="L187" s="558"/>
      <c r="M187" s="558"/>
      <c r="N187" s="558"/>
      <c r="O187" s="558"/>
      <c r="P187" s="558"/>
      <c r="Q187" s="572"/>
      <c r="R187" s="572"/>
      <c r="S187" s="572"/>
      <c r="T187" s="572"/>
      <c r="U187" s="572"/>
      <c r="V187" s="572"/>
      <c r="W187" s="572"/>
      <c r="X187" s="548"/>
      <c r="Y187" s="548"/>
    </row>
    <row r="188" spans="2:25" s="680" customFormat="1" ht="24.95" customHeight="1">
      <c r="B188" s="676">
        <v>2</v>
      </c>
      <c r="C188" s="677" t="s">
        <v>752</v>
      </c>
      <c r="D188" s="678" t="s">
        <v>679</v>
      </c>
      <c r="E188" s="679">
        <v>20426</v>
      </c>
      <c r="F188" s="679">
        <v>78</v>
      </c>
      <c r="G188" s="688" t="s">
        <v>734</v>
      </c>
      <c r="H188" s="557"/>
      <c r="I188" s="564" t="s">
        <v>680</v>
      </c>
      <c r="J188" s="559">
        <f ca="1">тарифікація!S352+тарифікація!T352</f>
        <v>0.5</v>
      </c>
      <c r="K188" s="563">
        <f ca="1">тарифікація!R352</f>
        <v>7052.95</v>
      </c>
      <c r="L188" s="586">
        <f ca="1">тарифікація!Z352</f>
        <v>1410.5900000000001</v>
      </c>
      <c r="M188" s="587"/>
      <c r="N188" s="586"/>
      <c r="O188" s="563">
        <f ca="1">тарифікація!AB352</f>
        <v>4231.7700000000004</v>
      </c>
      <c r="P188" s="563">
        <f ca="1">O188*12</f>
        <v>50781.240000000005</v>
      </c>
      <c r="Q188" s="567">
        <f ca="1">тарифікація!AD352</f>
        <v>10000</v>
      </c>
      <c r="R188" s="567">
        <f>Q188*12</f>
        <v>120000</v>
      </c>
      <c r="S188" s="566">
        <f>Q188-O188</f>
        <v>5768.23</v>
      </c>
      <c r="T188" s="567">
        <f>R188-P188</f>
        <v>69218.759999999995</v>
      </c>
      <c r="U188" s="567"/>
      <c r="V188" s="567"/>
      <c r="W188" s="567"/>
      <c r="X188" s="548" t="s">
        <v>643</v>
      </c>
      <c r="Y188" s="548" t="s">
        <v>643</v>
      </c>
    </row>
    <row r="189" spans="2:25" s="680" customFormat="1" ht="24.95" customHeight="1">
      <c r="B189" s="676">
        <v>3</v>
      </c>
      <c r="C189" s="677" t="s">
        <v>751</v>
      </c>
      <c r="D189" s="678">
        <v>3229</v>
      </c>
      <c r="E189" s="679">
        <v>24577</v>
      </c>
      <c r="F189" s="679">
        <v>78</v>
      </c>
      <c r="G189" s="688" t="s">
        <v>1416</v>
      </c>
      <c r="H189" s="557"/>
      <c r="I189" s="564" t="s">
        <v>1416</v>
      </c>
      <c r="J189" s="556">
        <f ca="1">тарифікація!S359+тарифікація!T359</f>
        <v>4</v>
      </c>
      <c r="K189" s="562">
        <f ca="1">тарифікація!R359</f>
        <v>22091.5</v>
      </c>
      <c r="L189" s="586">
        <f ca="1">тарифікація!Z359</f>
        <v>6627.4500000000007</v>
      </c>
      <c r="M189" s="587"/>
      <c r="N189" s="586">
        <f ca="1">тарифікація!AA359</f>
        <v>428.47500000000014</v>
      </c>
      <c r="O189" s="563">
        <f ca="1">тарифікація!AB359</f>
        <v>29147.425000000003</v>
      </c>
      <c r="P189" s="563">
        <f ca="1">O189*12</f>
        <v>349769.10000000003</v>
      </c>
      <c r="Q189" s="567">
        <f ca="1">тарифікація!AD359</f>
        <v>54000</v>
      </c>
      <c r="R189" s="567">
        <f>Q189*12</f>
        <v>648000</v>
      </c>
      <c r="S189" s="566">
        <f>Q189-O189</f>
        <v>24852.574999999997</v>
      </c>
      <c r="T189" s="567">
        <f>R189-P189</f>
        <v>298230.89999999997</v>
      </c>
      <c r="U189" s="567"/>
      <c r="V189" s="567"/>
      <c r="W189" s="567"/>
      <c r="X189" s="548" t="s">
        <v>655</v>
      </c>
      <c r="Y189" s="548" t="s">
        <v>655</v>
      </c>
    </row>
    <row r="190" spans="2:25" s="680" customFormat="1" ht="24.95" customHeight="1">
      <c r="B190" s="676"/>
      <c r="C190" s="677"/>
      <c r="D190" s="670"/>
      <c r="E190" s="670"/>
      <c r="F190" s="670"/>
      <c r="G190" s="683"/>
      <c r="H190" s="557"/>
      <c r="I190" s="568" t="s">
        <v>653</v>
      </c>
      <c r="J190" s="558">
        <f ca="1">SUM(J188:J189)</f>
        <v>4.5</v>
      </c>
      <c r="K190" s="581"/>
      <c r="L190" s="581">
        <f t="shared" ref="L190:T190" si="59">SUM(L188:L189)</f>
        <v>8038.0400000000009</v>
      </c>
      <c r="M190" s="581">
        <f t="shared" si="59"/>
        <v>0</v>
      </c>
      <c r="N190" s="581">
        <f t="shared" si="59"/>
        <v>428.47500000000014</v>
      </c>
      <c r="O190" s="581">
        <f t="shared" si="59"/>
        <v>33379.195000000007</v>
      </c>
      <c r="P190" s="581">
        <f t="shared" si="59"/>
        <v>400550.34</v>
      </c>
      <c r="Q190" s="582">
        <f t="shared" si="59"/>
        <v>64000</v>
      </c>
      <c r="R190" s="582">
        <f t="shared" si="59"/>
        <v>768000</v>
      </c>
      <c r="S190" s="582">
        <f t="shared" si="59"/>
        <v>30620.804999999997</v>
      </c>
      <c r="T190" s="582">
        <f t="shared" si="59"/>
        <v>367449.66</v>
      </c>
      <c r="U190" s="582"/>
      <c r="V190" s="582"/>
      <c r="W190" s="582"/>
      <c r="X190" s="579"/>
      <c r="Y190" s="579"/>
    </row>
    <row r="191" spans="2:25" s="680" customFormat="1" ht="24.95" customHeight="1">
      <c r="B191" s="676"/>
      <c r="C191" s="677"/>
      <c r="D191" s="689"/>
      <c r="E191" s="689"/>
      <c r="F191" s="689"/>
      <c r="G191" s="690"/>
      <c r="H191" s="557"/>
      <c r="I191" s="558" t="s">
        <v>681</v>
      </c>
      <c r="J191" s="558"/>
      <c r="K191" s="558"/>
      <c r="L191" s="558"/>
      <c r="M191" s="558"/>
      <c r="N191" s="558"/>
      <c r="O191" s="558"/>
      <c r="P191" s="558"/>
      <c r="Q191" s="572"/>
      <c r="R191" s="572"/>
      <c r="S191" s="572"/>
      <c r="T191" s="572"/>
      <c r="U191" s="572"/>
      <c r="V191" s="572"/>
      <c r="W191" s="572"/>
      <c r="X191" s="548"/>
      <c r="Y191" s="548"/>
    </row>
    <row r="192" spans="2:25" s="680" customFormat="1" ht="24.95" customHeight="1">
      <c r="B192" s="676">
        <v>1</v>
      </c>
      <c r="C192" s="677" t="s">
        <v>750</v>
      </c>
      <c r="D192" s="678" t="s">
        <v>654</v>
      </c>
      <c r="E192" s="679"/>
      <c r="F192" s="679">
        <v>78</v>
      </c>
      <c r="G192" s="688" t="s">
        <v>725</v>
      </c>
      <c r="H192" s="557"/>
      <c r="I192" s="564" t="s">
        <v>682</v>
      </c>
      <c r="J192" s="556">
        <f ca="1">тарифікація!S363</f>
        <v>1</v>
      </c>
      <c r="K192" s="563">
        <f ca="1">тарифікація!R363</f>
        <v>8307.2549999999992</v>
      </c>
      <c r="L192" s="562">
        <f ca="1">тарифікація!Z363</f>
        <v>2492.1764999999996</v>
      </c>
      <c r="M192" s="562"/>
      <c r="N192" s="562"/>
      <c r="O192" s="563">
        <f ca="1">тарифікація!AB363</f>
        <v>10799.431499999999</v>
      </c>
      <c r="P192" s="563">
        <f ca="1">O192*12</f>
        <v>129593.17799999999</v>
      </c>
      <c r="Q192" s="567">
        <f ca="1">тарифікація!AD363</f>
        <v>20000</v>
      </c>
      <c r="R192" s="567">
        <f>Q192*12</f>
        <v>240000</v>
      </c>
      <c r="S192" s="566">
        <f t="shared" ref="S192:T196" si="60">Q192-O192</f>
        <v>9200.5685000000012</v>
      </c>
      <c r="T192" s="567">
        <f t="shared" si="60"/>
        <v>110406.82200000001</v>
      </c>
      <c r="U192" s="567"/>
      <c r="V192" s="567"/>
      <c r="W192" s="567"/>
      <c r="X192" s="548" t="s">
        <v>643</v>
      </c>
      <c r="Y192" s="551" t="s">
        <v>645</v>
      </c>
    </row>
    <row r="193" spans="2:25" s="680" customFormat="1" ht="24.95" customHeight="1">
      <c r="B193" s="676">
        <v>3</v>
      </c>
      <c r="C193" s="677" t="s">
        <v>751</v>
      </c>
      <c r="D193" s="678">
        <v>3231</v>
      </c>
      <c r="E193" s="679" t="s">
        <v>500</v>
      </c>
      <c r="F193" s="679">
        <v>78</v>
      </c>
      <c r="G193" s="688" t="s">
        <v>735</v>
      </c>
      <c r="H193" s="557"/>
      <c r="I193" s="564" t="s">
        <v>683</v>
      </c>
      <c r="J193" s="556">
        <f ca="1">тарифікація!S366+тарифікація!S367+тарифікація!S368+тарифікація!S369+тарифікація!S370</f>
        <v>5</v>
      </c>
      <c r="K193" s="562">
        <f ca="1">тарифікація!R366+тарифікація!R367+тарифікація!R368+тарифікація!R369+тарифікація!R370</f>
        <v>28778.75</v>
      </c>
      <c r="L193" s="562">
        <f ca="1">тарифікація!Z366+тарифікація!Z367+тарифікація!Z368+тарифікація!Z369+тарифікація!Z370</f>
        <v>8058.0500000000011</v>
      </c>
      <c r="M193" s="562"/>
      <c r="N193" s="562"/>
      <c r="O193" s="563">
        <f ca="1">тарифікація!AB366+тарифікація!AB367+тарифікація!AB368+тарифікація!AB369+тарифікація!AB370</f>
        <v>36836.799999999996</v>
      </c>
      <c r="P193" s="563">
        <f ca="1">O193*12</f>
        <v>442041.59999999998</v>
      </c>
      <c r="Q193" s="567">
        <f ca="1">тарифікація!AD366+тарифікація!AD367+тарифікація!AD368+тарифікація!AD369+тарифікація!AD370</f>
        <v>67500</v>
      </c>
      <c r="R193" s="567">
        <f>Q193*12</f>
        <v>810000</v>
      </c>
      <c r="S193" s="566">
        <f t="shared" si="60"/>
        <v>30663.200000000004</v>
      </c>
      <c r="T193" s="567">
        <f t="shared" si="60"/>
        <v>367958.4</v>
      </c>
      <c r="U193" s="567"/>
      <c r="V193" s="567"/>
      <c r="W193" s="567"/>
      <c r="X193" s="548" t="s">
        <v>655</v>
      </c>
      <c r="Y193" s="548" t="s">
        <v>655</v>
      </c>
    </row>
    <row r="194" spans="2:25" s="680" customFormat="1" ht="24.95" customHeight="1">
      <c r="B194" s="676">
        <v>3</v>
      </c>
      <c r="C194" s="677" t="s">
        <v>751</v>
      </c>
      <c r="D194" s="678">
        <v>3231</v>
      </c>
      <c r="E194" s="679">
        <v>24728</v>
      </c>
      <c r="F194" s="679">
        <v>78</v>
      </c>
      <c r="G194" s="688" t="s">
        <v>736</v>
      </c>
      <c r="H194" s="557"/>
      <c r="I194" s="564" t="s">
        <v>684</v>
      </c>
      <c r="J194" s="556">
        <f ca="1">тарифікація!S372+тарифікація!S373</f>
        <v>2</v>
      </c>
      <c r="K194" s="562">
        <f ca="1">тарифікація!R372+тарифікація!R373</f>
        <v>9750</v>
      </c>
      <c r="L194" s="562">
        <f ca="1">тарифікація!Z372+тарифікація!Z373</f>
        <v>2450.5</v>
      </c>
      <c r="M194" s="562"/>
      <c r="N194" s="562">
        <f ca="1">тарифікація!AA372+тарифікація!AA373</f>
        <v>1199.5</v>
      </c>
      <c r="O194" s="563">
        <f ca="1">тарифікація!AB372+тарифікація!AB373</f>
        <v>13400</v>
      </c>
      <c r="P194" s="563">
        <f ca="1">O194*12</f>
        <v>160800</v>
      </c>
      <c r="Q194" s="567">
        <f ca="1">тарифікація!AD372+тарифікація!AD373</f>
        <v>27000</v>
      </c>
      <c r="R194" s="567">
        <f>Q194*12</f>
        <v>324000</v>
      </c>
      <c r="S194" s="566">
        <f t="shared" si="60"/>
        <v>13600</v>
      </c>
      <c r="T194" s="567">
        <f t="shared" si="60"/>
        <v>163200</v>
      </c>
      <c r="U194" s="567"/>
      <c r="V194" s="567"/>
      <c r="W194" s="567"/>
      <c r="X194" s="548" t="s">
        <v>655</v>
      </c>
      <c r="Y194" s="548" t="s">
        <v>655</v>
      </c>
    </row>
    <row r="195" spans="2:25" s="680" customFormat="1" ht="24.95" customHeight="1">
      <c r="B195" s="676">
        <v>3</v>
      </c>
      <c r="C195" s="677" t="s">
        <v>751</v>
      </c>
      <c r="D195" s="678">
        <v>3231</v>
      </c>
      <c r="E195" s="679" t="s">
        <v>500</v>
      </c>
      <c r="F195" s="679">
        <v>78</v>
      </c>
      <c r="G195" s="688" t="s">
        <v>737</v>
      </c>
      <c r="H195" s="557"/>
      <c r="I195" s="564" t="s">
        <v>685</v>
      </c>
      <c r="J195" s="556">
        <f ca="1">тарифікація!S371</f>
        <v>1</v>
      </c>
      <c r="K195" s="563">
        <f ca="1">тарифікація!R371</f>
        <v>5005</v>
      </c>
      <c r="L195" s="562">
        <f ca="1">тарифікація!Z371</f>
        <v>1501.5</v>
      </c>
      <c r="M195" s="562"/>
      <c r="N195" s="562">
        <f ca="1">тарифікація!AA371</f>
        <v>193.5</v>
      </c>
      <c r="O195" s="563">
        <f ca="1">тарифікація!AB371</f>
        <v>6700</v>
      </c>
      <c r="P195" s="563">
        <f ca="1">O195*12</f>
        <v>80400</v>
      </c>
      <c r="Q195" s="567">
        <f ca="1">тарифікація!AD371</f>
        <v>13500</v>
      </c>
      <c r="R195" s="567">
        <f>Q195*12</f>
        <v>162000</v>
      </c>
      <c r="S195" s="566">
        <f t="shared" si="60"/>
        <v>6800</v>
      </c>
      <c r="T195" s="567">
        <f t="shared" si="60"/>
        <v>81600</v>
      </c>
      <c r="U195" s="567"/>
      <c r="V195" s="567"/>
      <c r="W195" s="567"/>
      <c r="X195" s="548" t="s">
        <v>655</v>
      </c>
      <c r="Y195" s="548" t="s">
        <v>655</v>
      </c>
    </row>
    <row r="196" spans="2:25" s="680" customFormat="1" ht="24.95" customHeight="1">
      <c r="B196" s="676">
        <v>5</v>
      </c>
      <c r="C196" s="687" t="s">
        <v>746</v>
      </c>
      <c r="D196" s="678">
        <v>5132</v>
      </c>
      <c r="E196" s="679"/>
      <c r="F196" s="679">
        <v>78</v>
      </c>
      <c r="G196" s="688" t="s">
        <v>729</v>
      </c>
      <c r="H196" s="557"/>
      <c r="I196" s="564" t="s">
        <v>671</v>
      </c>
      <c r="J196" s="584">
        <f ca="1">тарифікація!S376</f>
        <v>1</v>
      </c>
      <c r="K196" s="563">
        <f ca="1">тарифікація!R376</f>
        <v>3414</v>
      </c>
      <c r="L196" s="587"/>
      <c r="M196" s="586">
        <f ca="1">тарифікація!W376</f>
        <v>341.40000000000003</v>
      </c>
      <c r="N196" s="586">
        <f ca="1">тарифікація!AA376</f>
        <v>3286</v>
      </c>
      <c r="O196" s="563">
        <f ca="1">тарифікація!AB376</f>
        <v>7041.4</v>
      </c>
      <c r="P196" s="563">
        <f ca="1">O196*12</f>
        <v>84496.799999999988</v>
      </c>
      <c r="Q196" s="567">
        <f ca="1">тарифікація!AD376</f>
        <v>7041.4</v>
      </c>
      <c r="R196" s="567">
        <f>Q196*12</f>
        <v>84496.799999999988</v>
      </c>
      <c r="S196" s="566">
        <f t="shared" si="60"/>
        <v>0</v>
      </c>
      <c r="T196" s="567">
        <f t="shared" si="60"/>
        <v>0</v>
      </c>
      <c r="U196" s="567"/>
      <c r="V196" s="567"/>
      <c r="W196" s="567"/>
      <c r="X196" s="548" t="s">
        <v>664</v>
      </c>
      <c r="Y196" s="548" t="s">
        <v>664</v>
      </c>
    </row>
    <row r="197" spans="2:25" s="680" customFormat="1" ht="24.95" customHeight="1">
      <c r="B197" s="676"/>
      <c r="C197" s="677"/>
      <c r="D197" s="670"/>
      <c r="E197" s="670"/>
      <c r="F197" s="670"/>
      <c r="G197" s="683"/>
      <c r="H197" s="557"/>
      <c r="I197" s="568" t="s">
        <v>653</v>
      </c>
      <c r="J197" s="588">
        <f ca="1">SUM(J192:J196)</f>
        <v>10</v>
      </c>
      <c r="K197" s="581"/>
      <c r="L197" s="569">
        <f t="shared" ref="L197:T197" si="61">SUM(L192:L196)</f>
        <v>14502.226500000001</v>
      </c>
      <c r="M197" s="569">
        <f t="shared" si="61"/>
        <v>341.40000000000003</v>
      </c>
      <c r="N197" s="569">
        <f t="shared" si="61"/>
        <v>4679</v>
      </c>
      <c r="O197" s="569">
        <f t="shared" si="61"/>
        <v>74777.631499999989</v>
      </c>
      <c r="P197" s="569">
        <f t="shared" si="61"/>
        <v>897331.57799999998</v>
      </c>
      <c r="Q197" s="570">
        <f t="shared" si="61"/>
        <v>135041.4</v>
      </c>
      <c r="R197" s="570">
        <f>SUM(R192:R196)</f>
        <v>1620496.8</v>
      </c>
      <c r="S197" s="570">
        <f t="shared" si="61"/>
        <v>60263.768500000006</v>
      </c>
      <c r="T197" s="570">
        <f t="shared" si="61"/>
        <v>723165.22200000007</v>
      </c>
      <c r="U197" s="570"/>
      <c r="V197" s="570"/>
      <c r="W197" s="570"/>
      <c r="X197" s="579"/>
      <c r="Y197" s="579"/>
    </row>
    <row r="198" spans="2:25" s="680" customFormat="1" ht="24.95" customHeight="1">
      <c r="B198" s="676"/>
      <c r="C198" s="677"/>
      <c r="D198" s="689"/>
      <c r="E198" s="689"/>
      <c r="F198" s="689"/>
      <c r="G198" s="690"/>
      <c r="H198" s="557"/>
      <c r="I198" s="933" t="s">
        <v>538</v>
      </c>
      <c r="J198" s="558"/>
      <c r="K198" s="558"/>
      <c r="L198" s="558"/>
      <c r="M198" s="558"/>
      <c r="N198" s="558"/>
      <c r="O198" s="558"/>
      <c r="P198" s="558"/>
      <c r="Q198" s="572"/>
      <c r="R198" s="572"/>
      <c r="S198" s="566"/>
      <c r="T198" s="567"/>
      <c r="U198" s="567"/>
      <c r="V198" s="567"/>
      <c r="W198" s="567"/>
      <c r="X198" s="548"/>
      <c r="Y198" s="548"/>
    </row>
    <row r="199" spans="2:25" s="680" customFormat="1" ht="24.95" customHeight="1">
      <c r="B199" s="676">
        <v>2</v>
      </c>
      <c r="C199" s="677" t="s">
        <v>752</v>
      </c>
      <c r="D199" s="678" t="s">
        <v>738</v>
      </c>
      <c r="E199" s="679">
        <v>20523</v>
      </c>
      <c r="F199" s="679">
        <v>78</v>
      </c>
      <c r="G199" s="688" t="s">
        <v>1648</v>
      </c>
      <c r="H199" s="557"/>
      <c r="I199" s="580" t="s">
        <v>1648</v>
      </c>
      <c r="J199" s="584">
        <f ca="1">тарифікація!S381</f>
        <v>1</v>
      </c>
      <c r="K199" s="563">
        <f ca="1">тарифікація!R381</f>
        <v>6567</v>
      </c>
      <c r="L199" s="563">
        <f ca="1">тарифікація!Z381</f>
        <v>1970.1</v>
      </c>
      <c r="M199" s="563"/>
      <c r="N199" s="563">
        <f ca="1">тарифікація!AA381</f>
        <v>0</v>
      </c>
      <c r="O199" s="563">
        <f ca="1">тарифікація!AB381</f>
        <v>8537.1</v>
      </c>
      <c r="P199" s="563">
        <f ca="1">O199*12</f>
        <v>102445.20000000001</v>
      </c>
      <c r="Q199" s="567">
        <f ca="1">тарифікація!AD381</f>
        <v>20000</v>
      </c>
      <c r="R199" s="567">
        <f>Q199*12</f>
        <v>240000</v>
      </c>
      <c r="S199" s="566">
        <f t="shared" ref="S199:T201" si="62">Q199-O199</f>
        <v>11462.9</v>
      </c>
      <c r="T199" s="567">
        <f t="shared" si="62"/>
        <v>137554.79999999999</v>
      </c>
      <c r="U199" s="567"/>
      <c r="V199" s="567"/>
      <c r="W199" s="567"/>
      <c r="X199" s="548" t="s">
        <v>643</v>
      </c>
      <c r="Y199" s="548" t="s">
        <v>643</v>
      </c>
    </row>
    <row r="200" spans="2:25" s="680" customFormat="1" ht="24.95" customHeight="1">
      <c r="B200" s="676">
        <v>3</v>
      </c>
      <c r="C200" s="677" t="s">
        <v>751</v>
      </c>
      <c r="D200" s="678">
        <v>3221</v>
      </c>
      <c r="E200" s="679"/>
      <c r="F200" s="679">
        <v>78</v>
      </c>
      <c r="G200" s="688" t="s">
        <v>572</v>
      </c>
      <c r="H200" s="557"/>
      <c r="I200" s="580" t="s">
        <v>572</v>
      </c>
      <c r="J200" s="584">
        <f ca="1">тарифікація!S384</f>
        <v>1</v>
      </c>
      <c r="K200" s="563">
        <f ca="1">тарифікація!R384</f>
        <v>5265</v>
      </c>
      <c r="L200" s="563">
        <f ca="1">тарифікація!Z384</f>
        <v>1579.5</v>
      </c>
      <c r="M200" s="563"/>
      <c r="N200" s="563">
        <f ca="1">тарифікація!AA384</f>
        <v>0</v>
      </c>
      <c r="O200" s="563">
        <f ca="1">тарифікація!AB384</f>
        <v>6844.5</v>
      </c>
      <c r="P200" s="563">
        <f ca="1">O200*12</f>
        <v>82134</v>
      </c>
      <c r="Q200" s="567">
        <f ca="1">тарифікація!AD384</f>
        <v>13500</v>
      </c>
      <c r="R200" s="567">
        <f>Q200*12</f>
        <v>162000</v>
      </c>
      <c r="S200" s="566">
        <f t="shared" si="62"/>
        <v>6655.5</v>
      </c>
      <c r="T200" s="567">
        <f t="shared" si="62"/>
        <v>79866</v>
      </c>
      <c r="U200" s="567"/>
      <c r="V200" s="567"/>
      <c r="W200" s="567"/>
      <c r="X200" s="548" t="s">
        <v>655</v>
      </c>
      <c r="Y200" s="548" t="s">
        <v>655</v>
      </c>
    </row>
    <row r="201" spans="2:25" s="680" customFormat="1" ht="24.95" customHeight="1">
      <c r="B201" s="676">
        <v>3</v>
      </c>
      <c r="C201" s="677" t="s">
        <v>751</v>
      </c>
      <c r="D201" s="678">
        <v>3228</v>
      </c>
      <c r="E201" s="679">
        <v>25177</v>
      </c>
      <c r="F201" s="679">
        <v>78</v>
      </c>
      <c r="G201" s="688" t="s">
        <v>690</v>
      </c>
      <c r="H201" s="557"/>
      <c r="I201" s="564" t="s">
        <v>574</v>
      </c>
      <c r="J201" s="584">
        <f ca="1">тарифікація!S385</f>
        <v>1</v>
      </c>
      <c r="K201" s="563">
        <f ca="1">тарифікація!R385</f>
        <v>5265</v>
      </c>
      <c r="L201" s="563">
        <f ca="1">тарифікація!Z385</f>
        <v>0</v>
      </c>
      <c r="M201" s="563"/>
      <c r="N201" s="563">
        <f ca="1">тарифікація!AA385</f>
        <v>1435</v>
      </c>
      <c r="O201" s="563">
        <f ca="1">тарифікація!AB385</f>
        <v>6700</v>
      </c>
      <c r="P201" s="563">
        <f ca="1">O201*12</f>
        <v>80400</v>
      </c>
      <c r="Q201" s="567">
        <f ca="1">тарифікація!AD385</f>
        <v>13500</v>
      </c>
      <c r="R201" s="567">
        <f>Q201*12</f>
        <v>162000</v>
      </c>
      <c r="S201" s="566">
        <f t="shared" si="62"/>
        <v>6800</v>
      </c>
      <c r="T201" s="567">
        <f t="shared" si="62"/>
        <v>81600</v>
      </c>
      <c r="U201" s="567"/>
      <c r="V201" s="567"/>
      <c r="W201" s="567"/>
      <c r="X201" s="548" t="s">
        <v>655</v>
      </c>
      <c r="Y201" s="548"/>
    </row>
    <row r="202" spans="2:25" s="680" customFormat="1" ht="24.95" customHeight="1">
      <c r="B202" s="676">
        <v>3</v>
      </c>
      <c r="C202" s="677" t="s">
        <v>751</v>
      </c>
      <c r="D202" s="678">
        <v>3231</v>
      </c>
      <c r="E202" s="679">
        <v>24872</v>
      </c>
      <c r="F202" s="679">
        <v>78</v>
      </c>
      <c r="G202" s="688" t="s">
        <v>1440</v>
      </c>
      <c r="H202" s="557"/>
      <c r="I202" s="564" t="s">
        <v>1440</v>
      </c>
      <c r="J202" s="584">
        <f ca="1">тарифікація!S386</f>
        <v>1</v>
      </c>
      <c r="K202" s="563">
        <f ca="1">тарифікація!R386</f>
        <v>4455</v>
      </c>
      <c r="L202" s="563">
        <f ca="1">тарифікація!Z386</f>
        <v>1336.5</v>
      </c>
      <c r="M202" s="563"/>
      <c r="N202" s="563">
        <f ca="1">тарифікація!AA386</f>
        <v>908.5</v>
      </c>
      <c r="O202" s="563">
        <f ca="1">тарифікація!AB386</f>
        <v>6700</v>
      </c>
      <c r="P202" s="563">
        <f ca="1">O202*12</f>
        <v>80400</v>
      </c>
      <c r="Q202" s="567">
        <f ca="1">тарифікація!AD386</f>
        <v>13500</v>
      </c>
      <c r="R202" s="567">
        <f>Q202*12</f>
        <v>162000</v>
      </c>
      <c r="S202" s="566">
        <f>Q202-O202</f>
        <v>6800</v>
      </c>
      <c r="T202" s="567">
        <f>R202-P202</f>
        <v>81600</v>
      </c>
      <c r="U202" s="567"/>
      <c r="V202" s="567"/>
      <c r="W202" s="567"/>
      <c r="X202" s="548" t="s">
        <v>655</v>
      </c>
      <c r="Y202" s="548" t="s">
        <v>655</v>
      </c>
    </row>
    <row r="203" spans="2:25" s="680" customFormat="1" ht="24.95" customHeight="1">
      <c r="B203" s="670"/>
      <c r="C203" s="670"/>
      <c r="D203" s="670"/>
      <c r="E203" s="670"/>
      <c r="F203" s="670"/>
      <c r="G203" s="684"/>
      <c r="H203" s="589"/>
      <c r="I203" s="568" t="s">
        <v>653</v>
      </c>
      <c r="J203" s="585">
        <f ca="1">SUM(J199:J202)</f>
        <v>4</v>
      </c>
      <c r="K203" s="581"/>
      <c r="L203" s="581">
        <f t="shared" ref="L203:T203" si="63">SUM(L199:L202)</f>
        <v>4886.1000000000004</v>
      </c>
      <c r="M203" s="581">
        <f t="shared" si="63"/>
        <v>0</v>
      </c>
      <c r="N203" s="581">
        <f t="shared" si="63"/>
        <v>2343.5</v>
      </c>
      <c r="O203" s="581">
        <f t="shared" si="63"/>
        <v>28781.599999999999</v>
      </c>
      <c r="P203" s="581">
        <f t="shared" si="63"/>
        <v>345379.2</v>
      </c>
      <c r="Q203" s="581">
        <f t="shared" si="63"/>
        <v>60500</v>
      </c>
      <c r="R203" s="581">
        <f t="shared" si="63"/>
        <v>726000</v>
      </c>
      <c r="S203" s="581">
        <f t="shared" si="63"/>
        <v>31718.400000000001</v>
      </c>
      <c r="T203" s="581">
        <f t="shared" si="63"/>
        <v>380620.79999999999</v>
      </c>
      <c r="U203" s="581"/>
      <c r="V203" s="581"/>
      <c r="W203" s="581"/>
      <c r="X203" s="587">
        <f ca="1">тарифікація!AB382+тарифікація!AB387</f>
        <v>28781.599999999999</v>
      </c>
      <c r="Y203" s="578">
        <f ca="1">тарифікація!AD382+тарифікація!AD387-Q203</f>
        <v>0</v>
      </c>
    </row>
    <row r="204" spans="2:25" s="680" customFormat="1" ht="24.95" customHeight="1">
      <c r="B204" s="670"/>
      <c r="C204" s="670"/>
      <c r="D204" s="670"/>
      <c r="E204" s="670"/>
      <c r="F204" s="670"/>
      <c r="G204" s="683"/>
      <c r="H204" s="557"/>
      <c r="I204" s="558" t="s">
        <v>1303</v>
      </c>
      <c r="J204" s="558"/>
      <c r="K204" s="558"/>
      <c r="L204" s="558"/>
      <c r="M204" s="558"/>
      <c r="N204" s="558"/>
      <c r="O204" s="558"/>
      <c r="P204" s="558"/>
      <c r="Q204" s="572"/>
      <c r="R204" s="572"/>
      <c r="S204" s="572"/>
      <c r="T204" s="572"/>
      <c r="U204" s="572"/>
      <c r="V204" s="572"/>
      <c r="W204" s="572"/>
      <c r="X204" s="548"/>
      <c r="Y204" s="548"/>
    </row>
    <row r="205" spans="2:25" s="680" customFormat="1" ht="24.95" customHeight="1">
      <c r="B205" s="676">
        <v>3</v>
      </c>
      <c r="C205" s="677" t="s">
        <v>751</v>
      </c>
      <c r="D205" s="678">
        <v>3231</v>
      </c>
      <c r="E205" s="679" t="s">
        <v>500</v>
      </c>
      <c r="F205" s="679">
        <v>78</v>
      </c>
      <c r="G205" s="688" t="s">
        <v>716</v>
      </c>
      <c r="H205" s="557"/>
      <c r="I205" s="564" t="s">
        <v>1308</v>
      </c>
      <c r="J205" s="556">
        <f ca="1">тарифікація!S391</f>
        <v>0.5</v>
      </c>
      <c r="K205" s="562">
        <f ca="1">тарифікація!R391</f>
        <v>4195</v>
      </c>
      <c r="L205" s="563">
        <f ca="1">тарифікація!Z391</f>
        <v>0</v>
      </c>
      <c r="M205" s="563"/>
      <c r="N205" s="563">
        <f ca="1">тарифікація!AA391</f>
        <v>3350</v>
      </c>
      <c r="O205" s="562">
        <f ca="1">тарифікація!AB391</f>
        <v>3350</v>
      </c>
      <c r="P205" s="563">
        <f ca="1">O205*12</f>
        <v>40200</v>
      </c>
      <c r="Q205" s="566">
        <f ca="1">тарифікація!AD390</f>
        <v>13500</v>
      </c>
      <c r="R205" s="567">
        <f>Q205*12</f>
        <v>162000</v>
      </c>
      <c r="S205" s="566">
        <f>Q205-O205</f>
        <v>10150</v>
      </c>
      <c r="T205" s="567">
        <f>R205-P205</f>
        <v>121800</v>
      </c>
      <c r="U205" s="567"/>
      <c r="V205" s="567"/>
      <c r="W205" s="567"/>
      <c r="X205" s="548" t="s">
        <v>655</v>
      </c>
      <c r="Y205" s="548" t="s">
        <v>655</v>
      </c>
    </row>
    <row r="206" spans="2:25" s="680" customFormat="1" ht="24.95" customHeight="1">
      <c r="B206" s="676">
        <v>3</v>
      </c>
      <c r="C206" s="677" t="s">
        <v>751</v>
      </c>
      <c r="D206" s="678">
        <v>3231</v>
      </c>
      <c r="E206" s="679">
        <v>24713</v>
      </c>
      <c r="F206" s="679">
        <v>78</v>
      </c>
      <c r="G206" s="688" t="s">
        <v>717</v>
      </c>
      <c r="H206" s="557"/>
      <c r="I206" s="564" t="s">
        <v>1306</v>
      </c>
      <c r="J206" s="556">
        <f ca="1">тарифікація!S390</f>
        <v>1</v>
      </c>
      <c r="K206" s="562">
        <f ca="1">тарифікація!R390</f>
        <v>4745</v>
      </c>
      <c r="L206" s="563">
        <f ca="1">тарифікація!Z390</f>
        <v>949</v>
      </c>
      <c r="M206" s="563"/>
      <c r="N206" s="563">
        <f ca="1">тарифікація!AA390</f>
        <v>1006</v>
      </c>
      <c r="O206" s="562">
        <f ca="1">тарифікація!AB390</f>
        <v>6700</v>
      </c>
      <c r="P206" s="563">
        <f ca="1">O206*12</f>
        <v>80400</v>
      </c>
      <c r="Q206" s="566">
        <f ca="1">тарифікація!AD391</f>
        <v>6750</v>
      </c>
      <c r="R206" s="567">
        <f>Q206*12</f>
        <v>81000</v>
      </c>
      <c r="S206" s="566">
        <f>Q206-O206</f>
        <v>50</v>
      </c>
      <c r="T206" s="567">
        <f>R206-P206</f>
        <v>600</v>
      </c>
      <c r="U206" s="567"/>
      <c r="V206" s="567"/>
      <c r="W206" s="567"/>
      <c r="X206" s="548" t="s">
        <v>655</v>
      </c>
      <c r="Y206" s="548" t="s">
        <v>655</v>
      </c>
    </row>
    <row r="207" spans="2:25" s="680" customFormat="1" ht="24.95" customHeight="1">
      <c r="B207" s="670"/>
      <c r="C207" s="670"/>
      <c r="D207" s="670"/>
      <c r="E207" s="670"/>
      <c r="F207" s="670"/>
      <c r="G207" s="683"/>
      <c r="H207" s="557"/>
      <c r="I207" s="568" t="s">
        <v>653</v>
      </c>
      <c r="J207" s="558">
        <f>SUM(J205:J206)</f>
        <v>1.5</v>
      </c>
      <c r="K207" s="569"/>
      <c r="L207" s="569">
        <f t="shared" ref="L207:T207" si="64">SUM(L205:L206)</f>
        <v>949</v>
      </c>
      <c r="M207" s="569">
        <f t="shared" si="64"/>
        <v>0</v>
      </c>
      <c r="N207" s="569">
        <f t="shared" si="64"/>
        <v>4356</v>
      </c>
      <c r="O207" s="569">
        <f t="shared" si="64"/>
        <v>10050</v>
      </c>
      <c r="P207" s="569">
        <f t="shared" si="64"/>
        <v>120600</v>
      </c>
      <c r="Q207" s="570">
        <f t="shared" si="64"/>
        <v>20250</v>
      </c>
      <c r="R207" s="570">
        <f t="shared" si="64"/>
        <v>243000</v>
      </c>
      <c r="S207" s="570">
        <f t="shared" si="64"/>
        <v>10200</v>
      </c>
      <c r="T207" s="570">
        <f t="shared" si="64"/>
        <v>122400</v>
      </c>
      <c r="U207" s="570"/>
      <c r="V207" s="570"/>
      <c r="W207" s="570"/>
      <c r="X207" s="578"/>
      <c r="Y207" s="578"/>
    </row>
    <row r="208" spans="2:25" s="943" customFormat="1" ht="31.5">
      <c r="B208" s="670"/>
      <c r="C208" s="670"/>
      <c r="D208" s="670"/>
      <c r="E208" s="670"/>
      <c r="F208" s="670"/>
      <c r="G208" s="683"/>
      <c r="H208" s="557"/>
      <c r="I208" s="942" t="s">
        <v>2035</v>
      </c>
      <c r="J208" s="558">
        <f>J22+J23+J24+J25</f>
        <v>4</v>
      </c>
      <c r="K208" s="569"/>
      <c r="L208" s="569"/>
      <c r="M208" s="569"/>
      <c r="N208" s="569"/>
      <c r="O208" s="569">
        <f t="shared" ref="O208:T208" si="65">O22+O23+O24+O25</f>
        <v>66606.544896250009</v>
      </c>
      <c r="P208" s="569">
        <f t="shared" si="65"/>
        <v>799278.53875499999</v>
      </c>
      <c r="Q208" s="569">
        <f t="shared" si="65"/>
        <v>73643.343840000001</v>
      </c>
      <c r="R208" s="569">
        <f t="shared" si="65"/>
        <v>883720.12607999996</v>
      </c>
      <c r="S208" s="569">
        <f t="shared" si="65"/>
        <v>7036.7989437499964</v>
      </c>
      <c r="T208" s="569">
        <f t="shared" si="65"/>
        <v>84441.587324999971</v>
      </c>
      <c r="U208" s="570"/>
      <c r="V208" s="570"/>
      <c r="W208" s="570"/>
      <c r="X208" s="578"/>
      <c r="Y208" s="578"/>
    </row>
    <row r="209" spans="2:25" s="943" customFormat="1" ht="31.5">
      <c r="B209" s="670"/>
      <c r="C209" s="670"/>
      <c r="D209" s="670"/>
      <c r="E209" s="670"/>
      <c r="F209" s="670"/>
      <c r="G209" s="683"/>
      <c r="H209" s="557"/>
      <c r="I209" s="942" t="s">
        <v>1790</v>
      </c>
      <c r="J209" s="558">
        <f>J26+J30+J31+J52+J54+J112+J127+J135+J150+J163+J182+J192</f>
        <v>13</v>
      </c>
      <c r="K209" s="569"/>
      <c r="L209" s="569"/>
      <c r="M209" s="569"/>
      <c r="N209" s="569"/>
      <c r="O209" s="569">
        <f t="shared" ref="O209:T209" si="66">O26+O30+O31+O52+O54+O112+O127+O135+O150+O163+O182+O192</f>
        <v>136086.882075</v>
      </c>
      <c r="P209" s="569">
        <f t="shared" si="66"/>
        <v>1633042.5849000004</v>
      </c>
      <c r="Q209" s="569">
        <f t="shared" si="66"/>
        <v>197693.07037500001</v>
      </c>
      <c r="R209" s="569">
        <f t="shared" si="66"/>
        <v>2372316.8445000001</v>
      </c>
      <c r="S209" s="569">
        <f t="shared" si="66"/>
        <v>61606.188300000002</v>
      </c>
      <c r="T209" s="569">
        <f t="shared" si="66"/>
        <v>739274.25959999999</v>
      </c>
      <c r="U209" s="570"/>
      <c r="V209" s="570"/>
      <c r="W209" s="570"/>
      <c r="X209" s="578"/>
      <c r="Y209" s="578"/>
    </row>
    <row r="210" spans="2:25" s="943" customFormat="1" ht="31.5">
      <c r="B210" s="670"/>
      <c r="C210" s="670"/>
      <c r="D210" s="670"/>
      <c r="E210" s="670"/>
      <c r="F210" s="670"/>
      <c r="G210" s="683"/>
      <c r="H210" s="557"/>
      <c r="I210" s="942" t="s">
        <v>1904</v>
      </c>
      <c r="J210" s="558">
        <f>J95+J113+J114+J115+J122+J128+J136+J143+J144+J151+J152+J153+J164+J172+J183+J188+J199</f>
        <v>40.75</v>
      </c>
      <c r="K210" s="569"/>
      <c r="L210" s="569"/>
      <c r="M210" s="569"/>
      <c r="N210" s="569"/>
      <c r="O210" s="569">
        <f t="shared" ref="O210:T210" si="67">O95+O113+O114+O115+O122+O128+O136+O143+O144+O151+O152+O153+O164+O172+O183+O188+O199</f>
        <v>344265.92375000002</v>
      </c>
      <c r="P210" s="569">
        <f t="shared" si="67"/>
        <v>4131191.0850000004</v>
      </c>
      <c r="Q210" s="569">
        <f t="shared" si="67"/>
        <v>815000</v>
      </c>
      <c r="R210" s="569">
        <f t="shared" si="67"/>
        <v>9780000</v>
      </c>
      <c r="S210" s="569">
        <f t="shared" si="67"/>
        <v>470734.07624999998</v>
      </c>
      <c r="T210" s="569">
        <f t="shared" si="67"/>
        <v>5648808.9149999991</v>
      </c>
      <c r="U210" s="570"/>
      <c r="V210" s="570"/>
      <c r="W210" s="570"/>
      <c r="X210" s="578"/>
      <c r="Y210" s="578"/>
    </row>
    <row r="211" spans="2:25" s="943" customFormat="1" ht="31.5">
      <c r="B211" s="670"/>
      <c r="C211" s="670"/>
      <c r="D211" s="670"/>
      <c r="E211" s="670"/>
      <c r="F211" s="670"/>
      <c r="G211" s="683"/>
      <c r="H211" s="557"/>
      <c r="I211" s="942" t="s">
        <v>1988</v>
      </c>
      <c r="J211" s="558">
        <f>J40+J108+J116+J117+J118+J123+J129+J130+J131+J137+J138+J139+J145+J146+J154+J155+J156+J159+J165+J166+J167+J173+J174+J178+J184+J189+J193+J194+J195+J200+J201+J202+J205+J206</f>
        <v>98</v>
      </c>
      <c r="K211" s="569"/>
      <c r="L211" s="569"/>
      <c r="M211" s="569"/>
      <c r="N211" s="569"/>
      <c r="O211" s="569">
        <f t="shared" ref="O211:T211" si="68">O40+O108+O116+O117+O118+O123+O129+O130+O131+O137+O138+O139+O145+O146+O154+O155+O156+O159+O165+O166+O167+O173+O174+O178+O184+O189+O193+O194+O195+O200+O201+O202+O205+O206</f>
        <v>684042.59750000015</v>
      </c>
      <c r="P211" s="569">
        <f t="shared" si="68"/>
        <v>8208511.169999999</v>
      </c>
      <c r="Q211" s="569">
        <f t="shared" si="68"/>
        <v>1323000</v>
      </c>
      <c r="R211" s="569">
        <f t="shared" si="68"/>
        <v>15876000</v>
      </c>
      <c r="S211" s="569">
        <f t="shared" si="68"/>
        <v>638957.40249999985</v>
      </c>
      <c r="T211" s="569">
        <f t="shared" si="68"/>
        <v>7667488.830000001</v>
      </c>
      <c r="U211" s="570"/>
      <c r="V211" s="570"/>
      <c r="W211" s="570"/>
      <c r="X211" s="578"/>
      <c r="Y211" s="578"/>
    </row>
    <row r="212" spans="2:25" s="943" customFormat="1" ht="31.5">
      <c r="B212" s="670"/>
      <c r="C212" s="670"/>
      <c r="D212" s="670"/>
      <c r="E212" s="670"/>
      <c r="F212" s="670"/>
      <c r="G212" s="683"/>
      <c r="H212" s="557"/>
      <c r="I212" s="942" t="s">
        <v>1989</v>
      </c>
      <c r="J212" s="558">
        <f>J119+J124+J132+J140+J147+J157+J160+J168+J175+J185+J196</f>
        <v>43</v>
      </c>
      <c r="K212" s="569"/>
      <c r="L212" s="569"/>
      <c r="M212" s="569"/>
      <c r="N212" s="569"/>
      <c r="O212" s="569">
        <f t="shared" ref="O212:T212" si="69">O119+O124+O132+O140+O147+O157+O160+O168+O175+O185+O196</f>
        <v>303396.30000000005</v>
      </c>
      <c r="P212" s="569">
        <f t="shared" si="69"/>
        <v>3640755.6</v>
      </c>
      <c r="Q212" s="569">
        <f t="shared" si="69"/>
        <v>303396.30000000005</v>
      </c>
      <c r="R212" s="569">
        <f t="shared" si="69"/>
        <v>3640755.6</v>
      </c>
      <c r="S212" s="569">
        <f t="shared" si="69"/>
        <v>0</v>
      </c>
      <c r="T212" s="569">
        <f t="shared" si="69"/>
        <v>0</v>
      </c>
      <c r="U212" s="570"/>
      <c r="V212" s="570"/>
      <c r="W212" s="570"/>
      <c r="X212" s="578"/>
      <c r="Y212" s="578"/>
    </row>
    <row r="213" spans="2:25" s="943" customFormat="1" ht="31.5">
      <c r="B213" s="668"/>
      <c r="C213" s="668"/>
      <c r="D213" s="668"/>
      <c r="E213" s="668"/>
      <c r="F213" s="668"/>
      <c r="G213" s="682"/>
      <c r="H213" s="590"/>
      <c r="I213" s="942" t="s">
        <v>1791</v>
      </c>
      <c r="J213" s="558">
        <f>J27+J32+J33+J34+J35+J36+J39+J41+J44+J45+J46+J47+J48+J49+J56+J58+J59+J61+J62+J63+J64+J65+J66+J68+J69+J70+J72+J73</f>
        <v>42.5</v>
      </c>
      <c r="K213" s="569"/>
      <c r="L213" s="569"/>
      <c r="M213" s="569"/>
      <c r="N213" s="569"/>
      <c r="O213" s="569">
        <f t="shared" ref="O213:T213" si="70">O27+O32+O33+O34+O35+O36+O39+O41+O44+O45+O46+O47+O48+O49+O56+O58+O59+O61+O62+O63+O64+O65+O66+O68+O69+O70+O72+O73</f>
        <v>285907.20000000001</v>
      </c>
      <c r="P213" s="569">
        <f t="shared" si="70"/>
        <v>3028886.4</v>
      </c>
      <c r="Q213" s="569">
        <f t="shared" si="70"/>
        <v>285907.20000000001</v>
      </c>
      <c r="R213" s="569">
        <f t="shared" si="70"/>
        <v>3028886.4</v>
      </c>
      <c r="S213" s="569">
        <f t="shared" si="70"/>
        <v>0</v>
      </c>
      <c r="T213" s="569">
        <f t="shared" si="70"/>
        <v>0</v>
      </c>
      <c r="U213" s="569"/>
      <c r="V213" s="569"/>
      <c r="W213" s="569"/>
      <c r="X213" s="587"/>
      <c r="Y213" s="591"/>
    </row>
    <row r="214" spans="2:25" s="943" customFormat="1">
      <c r="B214" s="668"/>
      <c r="C214" s="668"/>
      <c r="D214" s="668"/>
      <c r="E214" s="668"/>
      <c r="F214" s="668"/>
      <c r="G214" s="682"/>
      <c r="H214" s="590"/>
      <c r="I214" s="568"/>
      <c r="J214" s="558">
        <f>SUM(J208:J213)</f>
        <v>241.25</v>
      </c>
      <c r="K214" s="569"/>
      <c r="L214" s="569"/>
      <c r="M214" s="569"/>
      <c r="N214" s="569"/>
      <c r="O214" s="569">
        <f t="shared" ref="O214:T214" si="71">SUM(O208:O213)</f>
        <v>1820305.4482212502</v>
      </c>
      <c r="P214" s="569">
        <f t="shared" si="71"/>
        <v>21441665.378654998</v>
      </c>
      <c r="Q214" s="569">
        <f t="shared" si="71"/>
        <v>2998639.9142150003</v>
      </c>
      <c r="R214" s="569">
        <f t="shared" si="71"/>
        <v>35581678.970580004</v>
      </c>
      <c r="S214" s="569">
        <f t="shared" si="71"/>
        <v>1178334.4659937499</v>
      </c>
      <c r="T214" s="569">
        <f t="shared" si="71"/>
        <v>14140013.591924999</v>
      </c>
      <c r="U214" s="569"/>
      <c r="V214" s="569"/>
      <c r="W214" s="569"/>
      <c r="X214" s="587"/>
      <c r="Y214" s="587"/>
    </row>
    <row r="215" spans="2:25" s="943" customFormat="1">
      <c r="B215" s="668"/>
      <c r="C215" s="668"/>
      <c r="D215" s="668"/>
      <c r="E215" s="668"/>
      <c r="F215" s="668"/>
      <c r="G215" s="682"/>
      <c r="H215" s="590"/>
      <c r="I215" s="568"/>
      <c r="J215" s="558">
        <f ca="1">тарифікація!S393+тарифікація!T393</f>
        <v>241.25</v>
      </c>
      <c r="K215" s="585"/>
      <c r="L215" s="585"/>
      <c r="M215" s="585"/>
      <c r="N215" s="569"/>
      <c r="O215" s="569">
        <f ca="1">тарифікація!AB393</f>
        <v>1820305.44822125</v>
      </c>
      <c r="P215" s="569">
        <f ca="1">P227+P228</f>
        <v>21441665.378655002</v>
      </c>
      <c r="Q215" s="570">
        <f ca="1">тарифікація!AD393</f>
        <v>2998639.9142149999</v>
      </c>
      <c r="R215" s="570">
        <f>R227+R228</f>
        <v>35581678.970580004</v>
      </c>
      <c r="S215" s="570"/>
      <c r="T215" s="570"/>
      <c r="U215" s="570"/>
      <c r="V215" s="570"/>
      <c r="W215" s="570"/>
      <c r="X215" s="587"/>
      <c r="Y215" s="587"/>
    </row>
    <row r="216" spans="2:25" s="943" customFormat="1" hidden="1">
      <c r="B216" s="668"/>
      <c r="C216" s="668"/>
      <c r="D216" s="668"/>
      <c r="E216" s="668"/>
      <c r="F216" s="668"/>
      <c r="G216" s="682"/>
      <c r="H216" s="590"/>
      <c r="I216" s="568"/>
      <c r="J216" s="558">
        <f>J214-J215</f>
        <v>0</v>
      </c>
      <c r="K216" s="585"/>
      <c r="L216" s="585"/>
      <c r="M216" s="585"/>
      <c r="N216" s="569"/>
      <c r="O216" s="569">
        <f>O215-O214</f>
        <v>0</v>
      </c>
      <c r="P216" s="569">
        <f>P215-P214</f>
        <v>0</v>
      </c>
      <c r="Q216" s="569">
        <f>Q215-Q214</f>
        <v>0</v>
      </c>
      <c r="R216" s="569">
        <f>R215-R214</f>
        <v>0</v>
      </c>
      <c r="S216" s="570"/>
      <c r="T216" s="570"/>
      <c r="U216" s="570"/>
      <c r="V216" s="570"/>
      <c r="W216" s="570"/>
      <c r="X216" s="587"/>
      <c r="Y216" s="587"/>
    </row>
    <row r="217" spans="2:25" s="943" customFormat="1">
      <c r="B217" s="672"/>
      <c r="C217" s="672"/>
      <c r="D217" s="672"/>
      <c r="E217" s="672"/>
      <c r="F217" s="672"/>
      <c r="G217" s="685"/>
      <c r="H217" s="592"/>
      <c r="I217" s="593"/>
      <c r="J217" s="594"/>
      <c r="K217" s="595"/>
      <c r="L217" s="595"/>
      <c r="M217" s="595"/>
      <c r="N217" s="596"/>
      <c r="O217" s="596"/>
      <c r="P217" s="596"/>
      <c r="Q217" s="596"/>
      <c r="R217" s="596">
        <f ca="1">ФОП!S75</f>
        <v>934050.17871250003</v>
      </c>
      <c r="S217" s="597"/>
      <c r="T217" s="597"/>
      <c r="U217" s="597"/>
      <c r="V217" s="597"/>
      <c r="W217" s="597"/>
      <c r="X217" s="598"/>
      <c r="Y217" s="598"/>
    </row>
    <row r="218" spans="2:25" s="680" customFormat="1">
      <c r="B218" s="672"/>
      <c r="C218" s="672"/>
      <c r="D218" s="672"/>
      <c r="E218" s="672"/>
      <c r="F218" s="672"/>
      <c r="G218" s="685"/>
      <c r="H218" s="592"/>
      <c r="I218" s="593"/>
      <c r="J218" s="594"/>
      <c r="K218" s="595"/>
      <c r="L218" s="595"/>
      <c r="M218" s="595"/>
      <c r="N218" s="596"/>
      <c r="O218" s="596"/>
      <c r="P218" s="596"/>
      <c r="Q218" s="597">
        <v>0.22</v>
      </c>
      <c r="R218" s="596">
        <f>(R215+R217)*Q218</f>
        <v>8033460.4128443515</v>
      </c>
      <c r="S218" s="597"/>
      <c r="T218" s="597"/>
      <c r="U218" s="597"/>
      <c r="V218" s="597"/>
      <c r="W218" s="597"/>
      <c r="X218" s="598"/>
      <c r="Y218" s="598"/>
    </row>
    <row r="219" spans="2:25" s="680" customFormat="1">
      <c r="B219" s="672"/>
      <c r="C219" s="672"/>
      <c r="D219" s="672"/>
      <c r="E219" s="672"/>
      <c r="F219" s="672"/>
      <c r="G219" s="685"/>
      <c r="H219" s="592"/>
      <c r="I219" s="593"/>
      <c r="J219" s="594"/>
      <c r="K219" s="595"/>
      <c r="L219" s="595"/>
      <c r="M219" s="595"/>
      <c r="N219" s="595"/>
      <c r="O219" s="596"/>
      <c r="P219" s="596"/>
      <c r="Q219" s="597"/>
      <c r="R219" s="596">
        <f>R215+R217+R218</f>
        <v>44549189.562136859</v>
      </c>
      <c r="S219" s="597"/>
      <c r="T219" s="599"/>
      <c r="U219" s="599"/>
      <c r="V219" s="599"/>
      <c r="W219" s="599"/>
      <c r="X219" s="599"/>
      <c r="Y219" s="599"/>
    </row>
    <row r="220" spans="2:25" s="680" customFormat="1">
      <c r="B220" s="673"/>
      <c r="C220" s="673"/>
      <c r="D220" s="673"/>
      <c r="E220" s="673"/>
      <c r="F220" s="673"/>
      <c r="G220" s="686"/>
      <c r="H220" s="600"/>
      <c r="I220" s="601" t="s">
        <v>1645</v>
      </c>
      <c r="J220" s="600"/>
      <c r="K220" s="600"/>
      <c r="L220" s="601"/>
      <c r="M220" s="601"/>
      <c r="N220" s="602"/>
      <c r="O220" s="599" t="s">
        <v>607</v>
      </c>
      <c r="P220" s="603"/>
      <c r="Q220" s="604"/>
      <c r="R220" s="605"/>
      <c r="S220" s="604"/>
      <c r="T220" s="598"/>
      <c r="U220" s="598"/>
      <c r="V220" s="598"/>
      <c r="W220" s="598"/>
      <c r="X220" s="598"/>
      <c r="Y220" s="598"/>
    </row>
    <row r="221" spans="2:25" s="680" customFormat="1">
      <c r="B221" s="673"/>
      <c r="C221" s="673"/>
      <c r="D221" s="673"/>
      <c r="E221" s="673"/>
      <c r="F221" s="673"/>
      <c r="G221" s="686"/>
      <c r="H221" s="600"/>
      <c r="I221" s="601"/>
      <c r="J221" s="600"/>
      <c r="K221" s="600"/>
      <c r="L221" s="601"/>
      <c r="M221" s="601"/>
      <c r="N221" s="600"/>
      <c r="O221" s="1086"/>
      <c r="P221" s="599"/>
      <c r="Q221" s="604"/>
      <c r="R221" s="605"/>
      <c r="S221" s="604"/>
      <c r="T221" s="601"/>
      <c r="U221" s="601"/>
      <c r="V221" s="601"/>
      <c r="W221" s="601"/>
      <c r="X221" s="601"/>
      <c r="Y221" s="601"/>
    </row>
    <row r="222" spans="2:25" s="680" customFormat="1">
      <c r="B222" s="673"/>
      <c r="C222" s="673"/>
      <c r="D222" s="673"/>
      <c r="E222" s="673"/>
      <c r="F222" s="673"/>
      <c r="G222" s="686"/>
      <c r="H222" s="601"/>
      <c r="I222" s="601" t="s">
        <v>691</v>
      </c>
      <c r="J222" s="600"/>
      <c r="K222" s="600"/>
      <c r="L222" s="601"/>
      <c r="M222" s="601"/>
      <c r="N222" s="601"/>
      <c r="O222" s="601" t="s">
        <v>606</v>
      </c>
      <c r="P222" s="603"/>
      <c r="Q222" s="606"/>
      <c r="R222" s="606"/>
      <c r="S222" s="606"/>
      <c r="T222" s="601"/>
      <c r="U222" s="601"/>
      <c r="V222" s="601"/>
      <c r="W222" s="601"/>
      <c r="X222" s="601"/>
      <c r="Y222" s="601"/>
    </row>
    <row r="223" spans="2:25" s="680" customFormat="1">
      <c r="B223" s="673"/>
      <c r="C223" s="673"/>
      <c r="D223" s="673"/>
      <c r="E223" s="673"/>
      <c r="F223" s="673"/>
      <c r="G223" s="686"/>
      <c r="H223" s="600"/>
      <c r="I223" s="601"/>
      <c r="J223" s="600"/>
      <c r="K223" s="600"/>
      <c r="L223" s="601"/>
      <c r="M223" s="601"/>
      <c r="N223" s="600"/>
      <c r="O223" s="1086"/>
      <c r="P223" s="599"/>
      <c r="Q223" s="604"/>
      <c r="R223" s="605"/>
      <c r="S223" s="604"/>
      <c r="T223" s="601"/>
      <c r="U223" s="601"/>
      <c r="V223" s="601"/>
      <c r="W223" s="601"/>
      <c r="X223" s="601"/>
      <c r="Y223" s="601"/>
    </row>
    <row r="224" spans="2:25" s="680" customFormat="1">
      <c r="B224" s="673"/>
      <c r="C224" s="673"/>
      <c r="D224" s="673"/>
      <c r="E224" s="673"/>
      <c r="F224" s="673"/>
      <c r="G224" s="686"/>
      <c r="H224" s="600"/>
      <c r="I224" s="601" t="s">
        <v>692</v>
      </c>
      <c r="J224" s="600"/>
      <c r="K224" s="600"/>
      <c r="L224" s="601"/>
      <c r="M224" s="601"/>
      <c r="N224" s="600"/>
      <c r="O224" s="599" t="s">
        <v>611</v>
      </c>
      <c r="P224" s="603"/>
      <c r="Q224" s="604"/>
      <c r="R224" s="605"/>
      <c r="S224" s="604"/>
      <c r="T224" s="605"/>
      <c r="U224" s="605"/>
      <c r="V224" s="605"/>
      <c r="W224" s="605"/>
      <c r="X224" s="601"/>
      <c r="Y224" s="601"/>
    </row>
    <row r="225" spans="1:25" s="680" customFormat="1">
      <c r="B225" s="673"/>
      <c r="C225" s="673"/>
      <c r="D225" s="673"/>
      <c r="E225" s="673"/>
      <c r="F225" s="673"/>
      <c r="G225" s="686"/>
      <c r="H225" s="600"/>
      <c r="I225" s="607"/>
      <c r="J225" s="602">
        <f ca="1">тарифікація!S393+тарифікація!T393</f>
        <v>241.25</v>
      </c>
      <c r="K225" s="608"/>
      <c r="L225" s="601"/>
      <c r="M225" s="601"/>
      <c r="N225" s="600"/>
      <c r="O225" s="1087">
        <f ca="1">тарифікація!AB393</f>
        <v>1820305.44822125</v>
      </c>
      <c r="P225" s="609">
        <f>P227+P228</f>
        <v>21441665.378655002</v>
      </c>
      <c r="Q225" s="609">
        <f>Q227+Q228</f>
        <v>2998639.9142150003</v>
      </c>
      <c r="R225" s="609">
        <f>R227+R228</f>
        <v>35581678.970580004</v>
      </c>
      <c r="S225" s="610"/>
      <c r="T225" s="611"/>
      <c r="U225" s="611"/>
      <c r="V225" s="611"/>
      <c r="W225" s="611"/>
      <c r="X225" s="601"/>
      <c r="Y225" s="601"/>
    </row>
    <row r="226" spans="1:25" s="680" customFormat="1">
      <c r="B226" s="673"/>
      <c r="C226" s="673"/>
      <c r="D226" s="673"/>
      <c r="E226" s="673"/>
      <c r="F226" s="673"/>
      <c r="G226" s="686"/>
      <c r="H226" s="600"/>
      <c r="I226" s="601"/>
      <c r="J226" s="602">
        <f>J225-J214</f>
        <v>0</v>
      </c>
      <c r="K226" s="600"/>
      <c r="L226" s="598"/>
      <c r="M226" s="601"/>
      <c r="N226" s="600"/>
      <c r="O226" s="598">
        <f>O225-O214</f>
        <v>0</v>
      </c>
      <c r="P226" s="598">
        <f>P225-P214</f>
        <v>0</v>
      </c>
      <c r="Q226" s="598">
        <f>Q225-Q214</f>
        <v>0</v>
      </c>
      <c r="R226" s="934">
        <f>R225-R214</f>
        <v>0</v>
      </c>
      <c r="S226" s="612"/>
      <c r="T226" s="605"/>
      <c r="U226" s="605"/>
      <c r="V226" s="605"/>
      <c r="W226" s="605"/>
      <c r="X226" s="601"/>
      <c r="Y226" s="601"/>
    </row>
    <row r="227" spans="1:25">
      <c r="O227" s="1088">
        <f>O214-O72-O73</f>
        <v>1753305.4482212502</v>
      </c>
      <c r="P227" s="540">
        <f>O227*12</f>
        <v>21039665.378655002</v>
      </c>
      <c r="Q227" s="540">
        <f>Q214-Q72-Q73</f>
        <v>2931639.9142150003</v>
      </c>
      <c r="R227" s="540">
        <f>Q227*12</f>
        <v>35179678.970580004</v>
      </c>
    </row>
    <row r="228" spans="1:25">
      <c r="A228" s="680"/>
      <c r="O228" s="1088">
        <f>O72+O73</f>
        <v>67000</v>
      </c>
      <c r="P228" s="540">
        <f>O228*6</f>
        <v>402000</v>
      </c>
      <c r="Q228" s="540">
        <f>Q72+Q73</f>
        <v>67000</v>
      </c>
      <c r="R228" s="540">
        <f>Q228*6</f>
        <v>402000</v>
      </c>
    </row>
    <row r="229" spans="1:25">
      <c r="A229" s="680"/>
    </row>
    <row r="230" spans="1:25">
      <c r="A230" s="680"/>
    </row>
    <row r="231" spans="1:25">
      <c r="A231" s="680"/>
    </row>
    <row r="232" spans="1:25">
      <c r="A232" s="680"/>
    </row>
  </sheetData>
  <autoFilter ref="H19:Y213"/>
  <mergeCells count="37">
    <mergeCell ref="F16:F17"/>
    <mergeCell ref="D16:D17"/>
    <mergeCell ref="E16:E17"/>
    <mergeCell ref="C16:C17"/>
    <mergeCell ref="B16:B17"/>
    <mergeCell ref="I12:K12"/>
    <mergeCell ref="L1:P1"/>
    <mergeCell ref="L2:P2"/>
    <mergeCell ref="L3:P3"/>
    <mergeCell ref="L4:P4"/>
    <mergeCell ref="L5:P5"/>
    <mergeCell ref="L6:P6"/>
    <mergeCell ref="H7:P7"/>
    <mergeCell ref="H8:P8"/>
    <mergeCell ref="H9:P9"/>
    <mergeCell ref="H10:P10"/>
    <mergeCell ref="H11:I11"/>
    <mergeCell ref="G16:G17"/>
    <mergeCell ref="H16:H17"/>
    <mergeCell ref="I16:I17"/>
    <mergeCell ref="J16:J17"/>
    <mergeCell ref="K16:K17"/>
    <mergeCell ref="Y16:Y17"/>
    <mergeCell ref="T16:T17"/>
    <mergeCell ref="I13:K13"/>
    <mergeCell ref="L13:O13"/>
    <mergeCell ref="H14:P14"/>
    <mergeCell ref="M16:N16"/>
    <mergeCell ref="O16:O17"/>
    <mergeCell ref="P16:P17"/>
    <mergeCell ref="Q16:Q17"/>
    <mergeCell ref="W16:W17"/>
    <mergeCell ref="R16:R17"/>
    <mergeCell ref="S16:S17"/>
    <mergeCell ref="U16:U17"/>
    <mergeCell ref="V16:V17"/>
    <mergeCell ref="X16:X17"/>
  </mergeCells>
  <phoneticPr fontId="66" type="noConversion"/>
  <hyperlinks>
    <hyperlink ref="D24" r:id="rId1" location="1210-1" display="http://vobu.ua/images/kp/index.html - 1210-1"/>
    <hyperlink ref="D22" r:id="rId2" location="1210-1" display="http://vobu.ua/images/kp/index.html - 1210-1"/>
    <hyperlink ref="D30" r:id="rId3" location="1231" display="http://vobu.ua/images/kp/index.html - 1231"/>
    <hyperlink ref="D32" r:id="rId4" location="3433" display="http://vobu.ua/images/kp/index.html - 3433"/>
    <hyperlink ref="D33" r:id="rId5" location="2411-2" display="http://vobu.ua/images/kp/index.html - 2411-2"/>
    <hyperlink ref="D34" r:id="rId6" location="2419-3" display="http://vobu.ua/images/kp/index.html - 2419-3"/>
    <hyperlink ref="D52" r:id="rId7" location="1239" display="http://vobu.ua/images/kp/index.html - 1239"/>
    <hyperlink ref="D54" r:id="rId8" location="1226-2" display="http://vobu.ua/images/kp/index.html - 1226-2"/>
    <hyperlink ref="D31" r:id="rId9" location="1231" display="http://vobu.ua/images/kp/index.html - 1231"/>
    <hyperlink ref="D35" r:id="rId10" location="2419-3" display="http://vobu.ua/images/kp/index.html - 2419-3"/>
    <hyperlink ref="D70" r:id="rId11" location="9161" display="http://vobu.ua/images/kp/index.html - 9161"/>
    <hyperlink ref="D73" r:id="rId12" location="8262" display="http://vobu.ua/images/kp/index.html - 8262"/>
    <hyperlink ref="D68" r:id="rId13" location="9132" display="http://vobu.ua/images/kp/index.html - 9132"/>
    <hyperlink ref="D69" r:id="rId14" location="9162" display="http://vobu.ua/images/kp/index.html - 9162"/>
    <hyperlink ref="D65" r:id="rId15" location="7241" display="http://vobu.ua/images/kp/index.html - 7241"/>
    <hyperlink ref="D72" r:id="rId16" location="8262" display="http://vobu.ua/images/kp/index.html - 8262"/>
    <hyperlink ref="D206" r:id="rId17" location="3231" display="http://vobu.ua/images/kp/index.html - 3231"/>
    <hyperlink ref="D205" r:id="rId18" location="3231" display="http://vobu.ua/images/kp/index.html - 3231"/>
    <hyperlink ref="D77" r:id="rId19" location="2221-2" display="http://vobu.ua/images/kp/index.html - 2221-2"/>
    <hyperlink ref="D78" r:id="rId20" location="2221-2" display="http://vobu.ua/images/kp/index.html - 2221-2"/>
    <hyperlink ref="D79" r:id="rId21" location="2221-2" display="http://vobu.ua/images/kp/index.html - 2221-2"/>
    <hyperlink ref="D80" r:id="rId22" location="2221-2" display="http://vobu.ua/images/kp/index.html - 2221-2"/>
    <hyperlink ref="D81" r:id="rId23" location="2222-2" display="http://vobu.ua/images/kp/index.html - 2222-2"/>
    <hyperlink ref="D82" r:id="rId24" location="2222-2" display="http://vobu.ua/images/kp/index.html - 2222-2"/>
    <hyperlink ref="D83" r:id="rId25" location="2221-2" display="http://vobu.ua/images/kp/index.html - 2221-2"/>
    <hyperlink ref="D87" r:id="rId26" location="2221-2" display="http://vobu.ua/images/kp/index.html - 2221-2"/>
    <hyperlink ref="D88" r:id="rId27" location="2229-2" display="http://vobu.ua/images/kp/index.html - 2229-2"/>
    <hyperlink ref="D90" r:id="rId28" location="2221-2" display="http://vobu.ua/images/kp/index.html - 2221-2"/>
    <hyperlink ref="D92" r:id="rId29" location="2221-2" display="http://vobu.ua/images/kp/index.html - 2221-2"/>
    <hyperlink ref="D93" r:id="rId30" location="2221-2" display="http://vobu.ua/images/kp/index.html - 2221-2"/>
    <hyperlink ref="D94" r:id="rId31" location="2221-2" display="http://vobu.ua/images/kp/index.html - 2221-2"/>
    <hyperlink ref="D91" r:id="rId32" location="2221-2" display="http://vobu.ua/images/kp/index.html - 2221-2"/>
    <hyperlink ref="D89" r:id="rId33" location="2221-2" display="http://vobu.ua/images/kp/index.html - 2221-2"/>
    <hyperlink ref="D86" r:id="rId34" location="2221-2" display="http://vobu.ua/images/kp/index.html - 2221-2"/>
    <hyperlink ref="D84" r:id="rId35" location="2221-2" display="http://vobu.ua/images/kp/index.html - 2221-2"/>
    <hyperlink ref="D85" r:id="rId36" location="2221-2" display="http://vobu.ua/images/kp/index.html - 2221-2"/>
    <hyperlink ref="D106" r:id="rId37" location="3231" display="http://vobu.ua/images/kp/index.html - 3231"/>
    <hyperlink ref="D99:D105" r:id="rId38" location="3231" display="http://vobu.ua/images/kp/index.html - 3231"/>
    <hyperlink ref="D97" r:id="rId39" location="3232" display="http://vobu.ua/images/kp/index.html - 3232"/>
    <hyperlink ref="D107" r:id="rId40" location="3231" display="http://vobu.ua/images/kp/index.html - 3231"/>
    <hyperlink ref="D98" r:id="rId41" location="3232" display="http://vobu.ua/images/kp/index.html - 3232"/>
    <hyperlink ref="D112" r:id="rId42" location="1229-5" display="http://vobu.ua/images/kp/index.html - 1229-5"/>
    <hyperlink ref="D113" r:id="rId43" location="2221-2" display="http://vobu.ua/images/kp/index.html - 2221-2"/>
    <hyperlink ref="D114" r:id="rId44" location="2221-2" display="http://vobu.ua/images/kp/index.html - 2221-2"/>
    <hyperlink ref="D115" r:id="rId45" location="2221-2" display="http://vobu.ua/images/kp/index.html - 2221-2"/>
    <hyperlink ref="D116" r:id="rId46" location="3231" display="http://vobu.ua/images/kp/index.html - 3231"/>
    <hyperlink ref="D117" r:id="rId47" location="3232" display="http://vobu.ua/images/kp/index.html - 3232"/>
    <hyperlink ref="D118" r:id="rId48" location="3231" display="http://vobu.ua/images/kp/index.html - 3231"/>
    <hyperlink ref="D119" r:id="rId49" location="5132" display="http://vobu.ua/images/kp/index.html - 5132"/>
    <hyperlink ref="D122" r:id="rId50" location="2221-2" display="http://vobu.ua/images/kp/index.html - 2221-2"/>
    <hyperlink ref="D123" r:id="rId51" location="3231" display="http://vobu.ua/images/kp/index.html - 3231"/>
    <hyperlink ref="D124" r:id="rId52" location="5132" display="http://vobu.ua/images/kp/index.html - 5132"/>
    <hyperlink ref="D128" r:id="rId53" location="2221-2" display="http://vobu.ua/images/kp/index.html - 2221-2"/>
    <hyperlink ref="D127" r:id="rId54" location="1229-5" display="http://vobu.ua/images/kp/index.html - 1229-5"/>
    <hyperlink ref="D129" r:id="rId55" location="3231" display="http://vobu.ua/images/kp/index.html - 3231"/>
    <hyperlink ref="D130" r:id="rId56" location="3231" display="http://vobu.ua/images/kp/index.html - 3231"/>
    <hyperlink ref="D132" r:id="rId57" location="5132" display="http://vobu.ua/images/kp/index.html - 5132"/>
    <hyperlink ref="D131" r:id="rId58" location="3231" display="http://vobu.ua/images/kp/index.html - 3231"/>
    <hyperlink ref="D135" r:id="rId59" location="1229-5" display="http://vobu.ua/images/kp/index.html - 1229-5"/>
    <hyperlink ref="D137" r:id="rId60" location="3231" display="http://vobu.ua/images/kp/index.html - 3231"/>
    <hyperlink ref="D138" r:id="rId61" location="3231" display="http://vobu.ua/images/kp/index.html - 3231"/>
    <hyperlink ref="D140" r:id="rId62" location="5132" display="http://vobu.ua/images/kp/index.html - 5132"/>
    <hyperlink ref="D139" r:id="rId63" location="3231" display="http://vobu.ua/images/kp/index.html - 3231"/>
    <hyperlink ref="D136" r:id="rId64" location="2221-2" display="http://vobu.ua/images/kp/index.html - 2221-2"/>
    <hyperlink ref="D159" r:id="rId65" location="3231" display="http://vobu.ua/images/kp/index.html - 3231"/>
    <hyperlink ref="D150" r:id="rId66" location="1229-5" display="http://vobu.ua/images/kp/index.html - 1229-5"/>
    <hyperlink ref="D145" r:id="rId67" location="3231" display="http://vobu.ua/images/kp/index.html - 3231"/>
    <hyperlink ref="D154" r:id="rId68" location="3231" display="http://vobu.ua/images/kp/index.html - 3231"/>
    <hyperlink ref="D155" r:id="rId69" location="3231" display="http://vobu.ua/images/kp/index.html - 3231"/>
    <hyperlink ref="D147" r:id="rId70" location="5132" display="http://vobu.ua/images/kp/index.html - 5132"/>
    <hyperlink ref="D157" r:id="rId71" location="5132" display="http://vobu.ua/images/kp/index.html - 5132"/>
    <hyperlink ref="D160" r:id="rId72" location="5132" display="http://vobu.ua/images/kp/index.html - 5132"/>
    <hyperlink ref="D146" r:id="rId73" location="3231" display="http://vobu.ua/images/kp/index.html - 3231"/>
    <hyperlink ref="D143" r:id="rId74" location="2221-2" display="http://vobu.ua/images/kp/index.html - 2221-2"/>
    <hyperlink ref="D144" r:id="rId75" location="2221-2" display="http://vobu.ua/images/kp/index.html - 2221-2"/>
    <hyperlink ref="D151" r:id="rId76" location="2221-2" display="http://vobu.ua/images/kp/index.html - 2221-2"/>
    <hyperlink ref="D152" r:id="rId77" location="2221-2" display="http://vobu.ua/images/kp/index.html - 2221-2"/>
    <hyperlink ref="D153" r:id="rId78" location="2221-2" display="http://vobu.ua/images/kp/index.html - 2221-2"/>
    <hyperlink ref="D156" r:id="rId79" location="3231" display="http://vobu.ua/images/kp/index.html - 3231"/>
    <hyperlink ref="D193" r:id="rId80" location="3231" display="http://vobu.ua/images/kp/index.html - 3231"/>
    <hyperlink ref="D194" r:id="rId81" location="3231" display="http://vobu.ua/images/kp/index.html - 3231"/>
    <hyperlink ref="D195" r:id="rId82" location="3231" display="http://vobu.ua/images/kp/index.html - 3231"/>
    <hyperlink ref="D202" r:id="rId83" location="3231" display="http://vobu.ua/images/kp/index.html - 3231"/>
    <hyperlink ref="D199" r:id="rId84" location="2225-2" display="http://vobu.ua/images/kp/index.html - 2225-2"/>
    <hyperlink ref="D188" r:id="rId85" location="2229-2" display="http://vobu.ua/images/kp/index.html - 2229-2"/>
    <hyperlink ref="D163" r:id="rId86" location="1229-5" display="http://vobu.ua/images/kp/index.html - 1229-5"/>
    <hyperlink ref="D182" r:id="rId87" location="1229-5" display="http://vobu.ua/images/kp/index.html - 1229-5"/>
    <hyperlink ref="D192" r:id="rId88" location="1229-5" display="http://vobu.ua/images/kp/index.html - 1229-5"/>
    <hyperlink ref="D165" r:id="rId89" location="3231" display="http://vobu.ua/images/kp/index.html - 3231"/>
    <hyperlink ref="D173" r:id="rId90" location="3231" display="http://vobu.ua/images/kp/index.html - 3231"/>
    <hyperlink ref="D201" r:id="rId91" location="3228" display="http://vobu.ua/images/kp/index.html - 3228"/>
    <hyperlink ref="D167" r:id="rId92" location="3231" display="http://vobu.ua/images/kp/index.html - 3231"/>
    <hyperlink ref="D174" r:id="rId93" location="3231" display="http://vobu.ua/images/kp/index.html - 3231"/>
    <hyperlink ref="D168" r:id="rId94" location="5132" display="http://vobu.ua/images/kp/index.html - 5132"/>
    <hyperlink ref="D196" r:id="rId95" location="5132" display="http://vobu.ua/images/kp/index.html - 5132"/>
    <hyperlink ref="D175" r:id="rId96" location="5132" display="http://vobu.ua/images/kp/index.html - 5132"/>
    <hyperlink ref="D164" r:id="rId97" location="2221-2" display="http://vobu.ua/images/kp/index.html - 2221-2"/>
    <hyperlink ref="D166" r:id="rId98" location="3231" display="http://vobu.ua/images/kp/index.html - 3231"/>
    <hyperlink ref="D184" r:id="rId99" location="3221" display="http://vobu.ua/images/kp/index.html - 3221"/>
    <hyperlink ref="D183" r:id="rId100" location="2211-2" display="http://vobu.ua/images/kp/index.html - 2211-2"/>
    <hyperlink ref="D189" r:id="rId101" location="3229" display="http://vobu.ua/images/kp/index.html - 3229"/>
    <hyperlink ref="D172" r:id="rId102" location="2221-2" display="http://vobu.ua/images/kp/index.html - 2221-2"/>
    <hyperlink ref="D178" r:id="rId103" location="3231" display="http://vobu.ua/images/kp/index.html - 3231"/>
    <hyperlink ref="D200" r:id="rId104" location="3221" display="http://vobu.ua/images/kp/index.html - 3221"/>
    <hyperlink ref="D23" r:id="rId105" location="1210-1" display="1210-1"/>
    <hyperlink ref="D25" r:id="rId106" location="1210-1" display="http://vobu.ua/images/kp/index.html - 1210-1"/>
    <hyperlink ref="D26" r:id="rId107" location="1229-5" display="http://vobu.ua/images/kp/index.html - 1229-5"/>
    <hyperlink ref="D27" r:id="rId108" location="3436-1" display="http://vobu.ua/images/kp/index.html - 3436-1"/>
    <hyperlink ref="D36" r:id="rId109" location="4211" display="http://vobu.ua/images/kp/index.html - 4211"/>
    <hyperlink ref="D39" r:id="rId110" location="2132-2" display="http://vobu.ua/images/kp/index.html - 2132-2"/>
    <hyperlink ref="D41" r:id="rId111" location="4222" display="http://vobu.ua/images/kp/index.html - 4222"/>
    <hyperlink ref="D40" r:id="rId112" location="3231" display="http://vobu.ua/images/kp/index.html - 3231"/>
    <hyperlink ref="D44" r:id="rId113" location="3423" display="http://vobu.ua/images/kp/index.html - 3423"/>
    <hyperlink ref="D45" r:id="rId114" location="2149-2" display="http://vobu.ua/images/kp/index.html - 2149-2"/>
    <hyperlink ref="D46" r:id="rId115" location="2419-2" display="http://vobu.ua/images/kp/index.html - 2419-2"/>
    <hyperlink ref="D47" r:id="rId116" location="2429" display="http://vobu.ua/images/kp/index.html - 2429"/>
    <hyperlink ref="D48" r:id="rId117" location="2445-2" display="http://vobu.ua/images/kp/index.html - 2445-2"/>
    <hyperlink ref="D49" r:id="rId118" location="2149-2" display="http://vobu.ua/images/kp/index.html - 2149-2"/>
    <hyperlink ref="D56" r:id="rId119" location="8322" display="http://vobu.ua/images/kp/index.html - 8322"/>
    <hyperlink ref="D58" r:id="rId120" location="5122" display="http://vobu.ua/images/kp/index.html - 5122"/>
    <hyperlink ref="D59" r:id="rId121" location="9132" display="http://vobu.ua/images/kp/index.html - 9132"/>
    <hyperlink ref="D61" r:id="rId122" location="2149-2" display="http://vobu.ua/images/kp/index.html - 2149-2"/>
    <hyperlink ref="D62" r:id="rId123" location="7129" display="http://vobu.ua/images/kp/index.html - 7129"/>
    <hyperlink ref="D63" r:id="rId124" location="8333" display="http://vobu.ua/images/kp/index.html - 8333"/>
    <hyperlink ref="D64" r:id="rId125" location="8163" display="http://vobu.ua/images/kp/index.html - 8163"/>
    <hyperlink ref="D66" r:id="rId126" location="7136" display="http://vobu.ua/images/kp/index.html - 7136"/>
  </hyperlinks>
  <pageMargins left="0.70866141732283472" right="0.70866141732283472" top="0.74803149606299213" bottom="0.74803149606299213" header="0.31496062992125984" footer="0.31496062992125984"/>
  <pageSetup paperSize="9" scale="33" fitToHeight="10" orientation="landscape" r:id="rId12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2"/>
  <sheetViews>
    <sheetView view="pageBreakPreview" zoomScale="50" zoomScaleNormal="90" zoomScaleSheetLayoutView="50" workbookViewId="0">
      <selection activeCell="R17" sqref="R17"/>
    </sheetView>
  </sheetViews>
  <sheetFormatPr defaultColWidth="16.7109375" defaultRowHeight="12.75"/>
  <cols>
    <col min="1" max="1" width="6.140625" style="649" bestFit="1" customWidth="1"/>
    <col min="2" max="2" width="15.85546875" style="615" bestFit="1" customWidth="1"/>
    <col min="3" max="3" width="9.5703125" style="649" bestFit="1" customWidth="1"/>
    <col min="4" max="4" width="7.28515625" style="616" customWidth="1"/>
    <col min="5" max="5" width="115.42578125" style="617" customWidth="1"/>
    <col min="6" max="6" width="17" style="618" customWidth="1"/>
    <col min="7" max="12" width="18.5703125" style="618" customWidth="1"/>
    <col min="13" max="13" width="21.28515625" style="656" customWidth="1"/>
    <col min="14" max="14" width="23.140625" style="656" customWidth="1"/>
    <col min="15" max="15" width="5.28515625" style="656" hidden="1" customWidth="1"/>
    <col min="16" max="16" width="25.140625" style="656" customWidth="1"/>
    <col min="17" max="17" width="28" style="656" customWidth="1"/>
    <col min="18" max="18" width="21" style="615" bestFit="1" customWidth="1"/>
    <col min="19" max="20" width="9.140625" style="615" customWidth="1"/>
    <col min="21" max="21" width="10.140625" style="615" bestFit="1" customWidth="1"/>
    <col min="22" max="249" width="9.140625" style="615" customWidth="1"/>
    <col min="250" max="250" width="5.85546875" style="615" bestFit="1" customWidth="1"/>
    <col min="251" max="251" width="15.5703125" style="615" bestFit="1" customWidth="1"/>
    <col min="252" max="252" width="9.28515625" style="615" bestFit="1" customWidth="1"/>
    <col min="253" max="253" width="7.28515625" style="615" customWidth="1"/>
    <col min="254" max="254" width="75.7109375" style="615" customWidth="1"/>
    <col min="255" max="255" width="17" style="615" customWidth="1"/>
    <col min="256" max="16384" width="16.7109375" style="615"/>
  </cols>
  <sheetData>
    <row r="2" spans="1:21" s="622" customFormat="1" ht="24.95" customHeight="1">
      <c r="A2" s="619"/>
      <c r="B2" s="619"/>
      <c r="C2" s="619"/>
      <c r="D2" s="620"/>
      <c r="E2" s="621"/>
      <c r="I2" s="527"/>
      <c r="J2" s="527"/>
      <c r="K2" s="1653" t="s">
        <v>620</v>
      </c>
      <c r="L2" s="1653"/>
      <c r="M2" s="1653"/>
      <c r="N2" s="1653"/>
      <c r="O2" s="528"/>
      <c r="P2" s="657"/>
      <c r="Q2" s="657"/>
    </row>
    <row r="3" spans="1:21" s="526" customFormat="1" ht="24.95" customHeight="1">
      <c r="A3" s="624"/>
      <c r="B3" s="624"/>
      <c r="C3" s="624"/>
      <c r="D3" s="527"/>
      <c r="I3" s="527"/>
      <c r="J3" s="527"/>
      <c r="K3" s="1642" t="s">
        <v>621</v>
      </c>
      <c r="L3" s="1641"/>
      <c r="M3" s="1641"/>
      <c r="N3" s="1641"/>
      <c r="O3" s="529"/>
      <c r="P3" s="659"/>
      <c r="Q3" s="659"/>
    </row>
    <row r="4" spans="1:21" s="526" customFormat="1" ht="24.95" customHeight="1">
      <c r="A4" s="624"/>
      <c r="B4" s="624"/>
      <c r="C4" s="624"/>
      <c r="D4" s="527"/>
      <c r="I4" s="527"/>
      <c r="J4" s="527"/>
      <c r="K4" s="1642" t="s">
        <v>622</v>
      </c>
      <c r="L4" s="1641"/>
      <c r="M4" s="1641"/>
      <c r="N4" s="1641"/>
      <c r="O4" s="529"/>
      <c r="P4" s="659"/>
      <c r="Q4" s="659"/>
    </row>
    <row r="5" spans="1:21" s="526" customFormat="1" ht="24.95" customHeight="1">
      <c r="A5" s="624"/>
      <c r="B5" s="624"/>
      <c r="C5" s="624"/>
      <c r="D5" s="527"/>
      <c r="I5" s="527"/>
      <c r="J5" s="527"/>
      <c r="K5" s="1642"/>
      <c r="L5" s="1641"/>
      <c r="M5" s="1641"/>
      <c r="N5" s="1641"/>
      <c r="O5" s="529"/>
      <c r="P5" s="659"/>
      <c r="Q5" s="659"/>
    </row>
    <row r="6" spans="1:21" s="622" customFormat="1" ht="24.95" customHeight="1">
      <c r="A6" s="619"/>
      <c r="B6" s="619"/>
      <c r="C6" s="619"/>
      <c r="D6" s="620"/>
      <c r="E6" s="621"/>
      <c r="I6" s="527"/>
      <c r="J6" s="527"/>
      <c r="K6" s="1653" t="s">
        <v>623</v>
      </c>
      <c r="L6" s="1654"/>
      <c r="M6" s="1654"/>
      <c r="N6" s="1654"/>
      <c r="O6" s="530"/>
      <c r="P6" s="660"/>
      <c r="Q6" s="660"/>
    </row>
    <row r="7" spans="1:21" s="622" customFormat="1" ht="24.95" customHeight="1">
      <c r="A7" s="619"/>
      <c r="B7" s="619"/>
      <c r="C7" s="619"/>
      <c r="D7" s="620"/>
      <c r="E7" s="1640" t="s">
        <v>816</v>
      </c>
      <c r="F7" s="1649"/>
      <c r="G7" s="1649"/>
      <c r="H7" s="1649"/>
      <c r="I7" s="1649"/>
      <c r="J7" s="1649"/>
      <c r="K7" s="1649"/>
      <c r="L7" s="1649"/>
      <c r="M7" s="1649"/>
      <c r="N7" s="1649"/>
      <c r="O7" s="531"/>
      <c r="P7" s="661"/>
      <c r="Q7" s="661"/>
    </row>
    <row r="8" spans="1:21" s="622" customFormat="1" ht="24.95" customHeight="1">
      <c r="A8" s="619"/>
      <c r="B8" s="619"/>
      <c r="C8" s="619"/>
      <c r="D8" s="1661" t="s">
        <v>818</v>
      </c>
      <c r="E8" s="1662"/>
      <c r="F8" s="1662"/>
      <c r="G8" s="1662"/>
      <c r="H8" s="1662"/>
      <c r="I8" s="1662"/>
      <c r="J8" s="1662"/>
      <c r="K8" s="1662"/>
      <c r="L8" s="1662"/>
      <c r="M8" s="1662"/>
      <c r="N8" s="1662"/>
      <c r="O8" s="648"/>
      <c r="P8" s="662"/>
      <c r="Q8" s="662"/>
    </row>
    <row r="9" spans="1:21" s="622" customFormat="1" ht="24.95" customHeight="1">
      <c r="A9" s="619"/>
      <c r="B9" s="619"/>
      <c r="C9" s="619"/>
      <c r="D9" s="1657" t="s">
        <v>624</v>
      </c>
      <c r="E9" s="1658"/>
      <c r="F9" s="1658"/>
      <c r="G9" s="1658"/>
      <c r="H9" s="1658"/>
      <c r="I9" s="1658"/>
      <c r="J9" s="1658"/>
      <c r="K9" s="1658"/>
      <c r="L9" s="1658"/>
      <c r="M9" s="1658"/>
      <c r="N9" s="1658"/>
      <c r="R9" s="662" t="s">
        <v>766</v>
      </c>
    </row>
    <row r="10" spans="1:21" s="622" customFormat="1" ht="24.95" customHeight="1">
      <c r="A10" s="619"/>
      <c r="B10" s="619"/>
      <c r="C10" s="619"/>
      <c r="D10" s="1657" t="s">
        <v>625</v>
      </c>
      <c r="E10" s="1658"/>
      <c r="F10" s="1658"/>
      <c r="G10" s="1658"/>
      <c r="H10" s="1658"/>
      <c r="I10" s="1658"/>
      <c r="J10" s="1658"/>
      <c r="K10" s="1658"/>
      <c r="L10" s="1658"/>
      <c r="M10" s="1658"/>
      <c r="N10" s="1658"/>
      <c r="R10" s="700">
        <f>R11*12</f>
        <v>43900088.344107606</v>
      </c>
      <c r="S10" s="699"/>
    </row>
    <row r="11" spans="1:21" s="622" customFormat="1" ht="24.95" customHeight="1">
      <c r="A11" s="619"/>
      <c r="B11" s="619"/>
      <c r="C11" s="619"/>
      <c r="D11" s="1659" t="s">
        <v>626</v>
      </c>
      <c r="E11" s="1658"/>
      <c r="F11" s="625"/>
      <c r="G11" s="625"/>
      <c r="H11" s="625"/>
      <c r="I11" s="625"/>
      <c r="J11" s="626"/>
      <c r="K11" s="626"/>
      <c r="L11" s="626"/>
      <c r="M11" s="663"/>
      <c r="N11" s="663"/>
      <c r="R11" s="700">
        <f>R12+R13</f>
        <v>3658340.6953423005</v>
      </c>
      <c r="S11" s="697"/>
    </row>
    <row r="12" spans="1:21" s="622" customFormat="1" ht="24.95" customHeight="1">
      <c r="A12" s="619"/>
      <c r="B12" s="619"/>
      <c r="C12" s="619"/>
      <c r="D12" s="1663" t="s">
        <v>694</v>
      </c>
      <c r="E12" s="1658"/>
      <c r="F12" s="1658"/>
      <c r="G12" s="1658"/>
      <c r="H12" s="1658"/>
      <c r="I12" s="1658"/>
      <c r="J12" s="1658"/>
      <c r="K12" s="1658"/>
      <c r="L12" s="1658"/>
      <c r="M12" s="1658"/>
      <c r="N12" s="1658"/>
      <c r="O12" s="1664"/>
      <c r="P12" s="1664"/>
      <c r="Q12" s="1664"/>
      <c r="R12" s="700">
        <f>R13*22%</f>
        <v>659700.78112730011</v>
      </c>
      <c r="S12" s="697"/>
      <c r="U12" s="695" t="s">
        <v>695</v>
      </c>
    </row>
    <row r="13" spans="1:21" s="622" customFormat="1" ht="24.95" customHeight="1">
      <c r="A13" s="619"/>
      <c r="B13" s="619"/>
      <c r="C13" s="619"/>
      <c r="D13" s="1665" t="s">
        <v>765</v>
      </c>
      <c r="E13" s="1666"/>
      <c r="F13" s="1666"/>
      <c r="G13" s="1666"/>
      <c r="H13" s="1666"/>
      <c r="I13" s="1666"/>
      <c r="J13" s="1666"/>
      <c r="K13" s="1666"/>
      <c r="L13" s="1666"/>
      <c r="M13" s="1666"/>
      <c r="N13" s="1666"/>
      <c r="O13" s="1664"/>
      <c r="P13" s="1664"/>
      <c r="Q13" s="1664"/>
      <c r="R13" s="701">
        <f>P42</f>
        <v>2998639.9142150003</v>
      </c>
      <c r="S13" s="698"/>
      <c r="U13" s="696" t="s">
        <v>696</v>
      </c>
    </row>
    <row r="14" spans="1:21" s="622" customFormat="1" ht="24.95" customHeight="1">
      <c r="A14" s="619"/>
      <c r="B14" s="619"/>
      <c r="C14" s="619"/>
      <c r="D14" s="1665" t="s">
        <v>857</v>
      </c>
      <c r="E14" s="1666"/>
      <c r="F14" s="1666"/>
      <c r="G14" s="1666"/>
      <c r="H14" s="1666"/>
      <c r="I14" s="1666"/>
      <c r="J14" s="1666"/>
      <c r="K14" s="1666"/>
      <c r="L14" s="1666"/>
      <c r="M14" s="1666"/>
      <c r="N14" s="1666"/>
      <c r="O14" s="1664"/>
      <c r="P14" s="1664"/>
      <c r="Q14" s="1664"/>
      <c r="R14" s="701">
        <f>P43</f>
        <v>2998639.9142150003</v>
      </c>
      <c r="S14" s="698"/>
      <c r="U14" s="696" t="s">
        <v>696</v>
      </c>
    </row>
    <row r="15" spans="1:21" s="622" customFormat="1" ht="24.95" customHeight="1">
      <c r="A15" s="619"/>
      <c r="B15" s="619"/>
      <c r="C15" s="619"/>
      <c r="D15" s="628"/>
      <c r="E15" s="627"/>
      <c r="F15" s="627"/>
      <c r="G15" s="627"/>
      <c r="H15" s="627"/>
      <c r="I15" s="627"/>
      <c r="J15" s="627"/>
      <c r="K15" s="627"/>
      <c r="L15" s="627"/>
      <c r="M15" s="664"/>
      <c r="N15" s="664"/>
      <c r="O15" s="664"/>
      <c r="P15" s="664"/>
      <c r="Q15" s="664"/>
      <c r="R15" s="622">
        <f>R14*22%</f>
        <v>659700.78112730011</v>
      </c>
    </row>
    <row r="16" spans="1:21" s="629" customFormat="1" ht="62.25" customHeight="1">
      <c r="A16" s="650"/>
      <c r="C16" s="650"/>
      <c r="D16" s="1660" t="s">
        <v>837</v>
      </c>
      <c r="E16" s="1660" t="s">
        <v>632</v>
      </c>
      <c r="F16" s="1660" t="s">
        <v>633</v>
      </c>
      <c r="G16" s="1660" t="s">
        <v>697</v>
      </c>
      <c r="H16" s="1660"/>
      <c r="I16" s="1667"/>
      <c r="J16" s="1667"/>
      <c r="K16" s="1667"/>
      <c r="L16" s="1667"/>
      <c r="M16" s="1660" t="s">
        <v>636</v>
      </c>
      <c r="N16" s="1660" t="s">
        <v>830</v>
      </c>
      <c r="O16" s="1660"/>
      <c r="P16" s="1660" t="s">
        <v>855</v>
      </c>
      <c r="Q16" s="1660" t="s">
        <v>856</v>
      </c>
    </row>
    <row r="17" spans="1:17" s="622" customFormat="1" ht="62.25" customHeight="1">
      <c r="A17" s="619"/>
      <c r="C17" s="619"/>
      <c r="D17" s="1660"/>
      <c r="E17" s="1660"/>
      <c r="F17" s="1660"/>
      <c r="G17" s="731" t="s">
        <v>2035</v>
      </c>
      <c r="H17" s="731" t="s">
        <v>1790</v>
      </c>
      <c r="I17" s="731" t="s">
        <v>1904</v>
      </c>
      <c r="J17" s="731" t="s">
        <v>1988</v>
      </c>
      <c r="K17" s="731" t="s">
        <v>1989</v>
      </c>
      <c r="L17" s="731" t="s">
        <v>1791</v>
      </c>
      <c r="M17" s="1660"/>
      <c r="N17" s="1660"/>
      <c r="O17" s="1660"/>
      <c r="P17" s="1660"/>
      <c r="Q17" s="1660"/>
    </row>
    <row r="18" spans="1:17" s="619" customFormat="1" ht="24.95" customHeight="1">
      <c r="B18" s="632"/>
      <c r="D18" s="637">
        <v>1</v>
      </c>
      <c r="E18" s="639" t="s">
        <v>836</v>
      </c>
      <c r="F18" s="636">
        <f t="shared" ref="F18:Q18" si="0">SUM(F19:F23)</f>
        <v>53</v>
      </c>
      <c r="G18" s="636">
        <f t="shared" si="0"/>
        <v>4</v>
      </c>
      <c r="H18" s="636">
        <f t="shared" si="0"/>
        <v>6</v>
      </c>
      <c r="I18" s="636">
        <f t="shared" si="0"/>
        <v>0</v>
      </c>
      <c r="J18" s="636">
        <f t="shared" si="0"/>
        <v>0.5</v>
      </c>
      <c r="K18" s="636">
        <f t="shared" si="0"/>
        <v>0</v>
      </c>
      <c r="L18" s="636">
        <f t="shared" si="0"/>
        <v>42.5</v>
      </c>
      <c r="M18" s="654">
        <f t="shared" si="0"/>
        <v>409641.15497124998</v>
      </c>
      <c r="N18" s="654">
        <f t="shared" si="0"/>
        <v>4513693.8596550003</v>
      </c>
      <c r="O18" s="654" t="e">
        <f t="shared" si="0"/>
        <v>#REF!</v>
      </c>
      <c r="P18" s="654">
        <f t="shared" si="0"/>
        <v>423993.61421500001</v>
      </c>
      <c r="Q18" s="654">
        <f t="shared" si="0"/>
        <v>4685923.3705799999</v>
      </c>
    </row>
    <row r="19" spans="1:17" s="622" customFormat="1" ht="24.95" customHeight="1">
      <c r="B19" s="631">
        <f t="shared" ref="B19:B24" si="1">C19-F19</f>
        <v>0</v>
      </c>
      <c r="C19" s="631">
        <f ca="1">'штат-розп'!J28</f>
        <v>6</v>
      </c>
      <c r="D19" s="932" t="s">
        <v>838</v>
      </c>
      <c r="E19" s="633" t="str">
        <f ca="1">'штат-розп'!I21</f>
        <v>АДМІНІСТРАЦІЯ</v>
      </c>
      <c r="F19" s="653">
        <f t="shared" ref="F19:F24" si="2">SUM(G19:L19)</f>
        <v>6</v>
      </c>
      <c r="G19" s="653">
        <f ca="1">'штат-розп'!J22+'штат-розп'!J23+'штат-розп'!J24+'штат-розп'!J25</f>
        <v>4</v>
      </c>
      <c r="H19" s="653">
        <f ca="1">'штат-розп'!J26</f>
        <v>1</v>
      </c>
      <c r="I19" s="634"/>
      <c r="J19" s="634"/>
      <c r="K19" s="634"/>
      <c r="L19" s="634">
        <f ca="1">'штат-розп'!J27</f>
        <v>1</v>
      </c>
      <c r="M19" s="665">
        <f ca="1">'штат-розп'!O28</f>
        <v>82890.884596250005</v>
      </c>
      <c r="N19" s="665">
        <f ca="1">M19*12</f>
        <v>994690.61515500001</v>
      </c>
      <c r="O19" s="665" t="e">
        <f ca="1">#REF!-N19</f>
        <v>#REF!</v>
      </c>
      <c r="P19" s="665">
        <f ca="1">'штат-розп'!Q28</f>
        <v>93843.343840000001</v>
      </c>
      <c r="Q19" s="665">
        <f ca="1">P19*12</f>
        <v>1126120.1260800001</v>
      </c>
    </row>
    <row r="20" spans="1:17" s="622" customFormat="1" ht="18.75">
      <c r="B20" s="631">
        <f t="shared" si="1"/>
        <v>0</v>
      </c>
      <c r="C20" s="631">
        <f ca="1">'штат-розп'!J37</f>
        <v>6</v>
      </c>
      <c r="D20" s="932" t="s">
        <v>839</v>
      </c>
      <c r="E20" s="633" t="str">
        <f ca="1">'штат-розп'!I29</f>
        <v>БУХГАЛТЕРСЬКИЙ ВІДДІЛ</v>
      </c>
      <c r="F20" s="653">
        <f t="shared" si="2"/>
        <v>6</v>
      </c>
      <c r="G20" s="653"/>
      <c r="H20" s="653">
        <f ca="1">'штат-розп'!J30+'штат-розп'!J31</f>
        <v>2</v>
      </c>
      <c r="I20" s="634"/>
      <c r="J20" s="634"/>
      <c r="K20" s="634"/>
      <c r="L20" s="634">
        <f ca="1">'штат-розп'!J32+'штат-розп'!J33+'штат-розп'!J34+'штат-розп'!J35+'штат-розп'!J36</f>
        <v>4</v>
      </c>
      <c r="M20" s="665">
        <f ca="1">'штат-розп'!O37</f>
        <v>50893.070375000003</v>
      </c>
      <c r="N20" s="665">
        <f ca="1">M20*12</f>
        <v>610716.84450000001</v>
      </c>
      <c r="O20" s="665" t="e">
        <f ca="1">#REF!-N20</f>
        <v>#REF!</v>
      </c>
      <c r="P20" s="665">
        <f ca="1">'штат-розп'!Q37</f>
        <v>50893.070375000003</v>
      </c>
      <c r="Q20" s="665">
        <f ca="1">P20*12</f>
        <v>610716.84450000001</v>
      </c>
    </row>
    <row r="21" spans="1:17" s="622" customFormat="1" ht="18.75">
      <c r="B21" s="631">
        <f t="shared" si="1"/>
        <v>0</v>
      </c>
      <c r="C21" s="631">
        <f ca="1">'штат-розп'!J42</f>
        <v>2.5</v>
      </c>
      <c r="D21" s="932" t="s">
        <v>840</v>
      </c>
      <c r="E21" s="633" t="str">
        <f ca="1">'штат-розп'!I38</f>
        <v>ІНФОРМАЦІЙНО-АНАЛІТИЧНИЙ ВІДДІЛ</v>
      </c>
      <c r="F21" s="653">
        <f t="shared" si="2"/>
        <v>2.5</v>
      </c>
      <c r="G21" s="653"/>
      <c r="H21" s="653"/>
      <c r="I21" s="634"/>
      <c r="J21" s="634">
        <f ca="1">'штат-розп'!J40</f>
        <v>0.5</v>
      </c>
      <c r="K21" s="634"/>
      <c r="L21" s="634">
        <f ca="1">'штат-розп'!J39+'штат-розп'!J41</f>
        <v>2</v>
      </c>
      <c r="M21" s="665">
        <f ca="1">'штат-розп'!O42</f>
        <v>16750</v>
      </c>
      <c r="N21" s="665">
        <f ca="1">M21*12</f>
        <v>201000</v>
      </c>
      <c r="O21" s="665"/>
      <c r="P21" s="665">
        <f ca="1">'штат-розп'!Q42</f>
        <v>20150</v>
      </c>
      <c r="Q21" s="665">
        <f ca="1">P21*12</f>
        <v>241800</v>
      </c>
    </row>
    <row r="22" spans="1:17" s="622" customFormat="1" ht="18.75">
      <c r="B22" s="631">
        <f t="shared" si="1"/>
        <v>0</v>
      </c>
      <c r="C22" s="631">
        <f ca="1">'штат-розп'!J50</f>
        <v>5</v>
      </c>
      <c r="D22" s="932" t="s">
        <v>841</v>
      </c>
      <c r="E22" s="633" t="str">
        <f ca="1">'штат-розп'!I43</f>
        <v>ВІДДІЛ ПРАЦІ ТА СОЦІАЛЬНО-ПРАВОВОГО ЗАБЕЗПЕЧЕННЯ</v>
      </c>
      <c r="F22" s="653">
        <f t="shared" si="2"/>
        <v>5</v>
      </c>
      <c r="G22" s="653"/>
      <c r="H22" s="653"/>
      <c r="I22" s="634"/>
      <c r="J22" s="634"/>
      <c r="K22" s="634"/>
      <c r="L22" s="634">
        <f ca="1">'штат-розп'!J44+'штат-розп'!J45+'штат-розп'!J46+'штат-розп'!J47+'штат-розп'!J48+'штат-розп'!J49</f>
        <v>5</v>
      </c>
      <c r="M22" s="665">
        <f ca="1">'штат-розп'!O50</f>
        <v>33500</v>
      </c>
      <c r="N22" s="665">
        <f ca="1">M22*12</f>
        <v>402000</v>
      </c>
      <c r="O22" s="665"/>
      <c r="P22" s="665">
        <f ca="1">'штат-розп'!Q50</f>
        <v>33500</v>
      </c>
      <c r="Q22" s="665">
        <f ca="1">P22*12</f>
        <v>402000</v>
      </c>
    </row>
    <row r="23" spans="1:17" s="622" customFormat="1" ht="18.75">
      <c r="B23" s="631">
        <f t="shared" si="1"/>
        <v>0</v>
      </c>
      <c r="C23" s="631">
        <f ca="1">'штат-розп'!J74</f>
        <v>33.5</v>
      </c>
      <c r="D23" s="932" t="s">
        <v>842</v>
      </c>
      <c r="E23" s="633" t="str">
        <f ca="1">'штат-розп'!I51</f>
        <v>ГОСПОДАРСЬКИЙ ВІДДІЛ</v>
      </c>
      <c r="F23" s="653">
        <f t="shared" si="2"/>
        <v>33.5</v>
      </c>
      <c r="G23" s="653"/>
      <c r="H23" s="653">
        <f ca="1">'штат-розп'!J52+'штат-розп'!J54</f>
        <v>3</v>
      </c>
      <c r="I23" s="634"/>
      <c r="J23" s="634"/>
      <c r="K23" s="634"/>
      <c r="L23" s="634">
        <f ca="1">'штат-розп'!J56+'штат-розп'!J58+'штат-розп'!J59+'штат-розп'!J61+'штат-розп'!J62+'штат-розп'!J63+'штат-розп'!J64+'штат-розп'!J65+'штат-розп'!J66+'штат-розп'!J68+'штат-розп'!J69+'штат-розп'!J70+'штат-розп'!J72+'штат-розп'!J73</f>
        <v>30.5</v>
      </c>
      <c r="M23" s="665">
        <f ca="1">'штат-розп'!O74</f>
        <v>225607.2</v>
      </c>
      <c r="N23" s="665">
        <f ca="1">('штат-розп'!O52+'штат-розп'!O54+'штат-розп'!O56+'штат-розп'!O58+'штат-розп'!O59+'штат-розп'!O61+'штат-розп'!O62+'штат-розп'!O63+'штат-розп'!O64+'штат-розп'!O65+'штат-розп'!O66+'штат-розп'!O68+'штат-розп'!O69+'штат-розп'!O70)*12+('штат-розп'!O72+'штат-розп'!O73)*6</f>
        <v>2305286.4000000004</v>
      </c>
      <c r="O23" s="665"/>
      <c r="P23" s="665">
        <f ca="1">'штат-розп'!Q74</f>
        <v>225607.2</v>
      </c>
      <c r="Q23" s="665">
        <f ca="1">'штат-розп'!R74</f>
        <v>2305286.4</v>
      </c>
    </row>
    <row r="24" spans="1:17" s="619" customFormat="1" ht="24.95" customHeight="1">
      <c r="B24" s="632">
        <f t="shared" si="1"/>
        <v>0</v>
      </c>
      <c r="C24" s="632">
        <f ca="1">'штат-розп'!J109</f>
        <v>26.25</v>
      </c>
      <c r="D24" s="637">
        <v>2</v>
      </c>
      <c r="E24" s="636" t="str">
        <f ca="1">'штат-розп'!I75</f>
        <v>ПОЛІКЛІНІКА</v>
      </c>
      <c r="F24" s="636">
        <f t="shared" si="2"/>
        <v>26.25</v>
      </c>
      <c r="G24" s="636"/>
      <c r="H24" s="636"/>
      <c r="I24" s="639">
        <f ca="1">'штат-розп'!J95</f>
        <v>15.25</v>
      </c>
      <c r="J24" s="639">
        <f ca="1">'штат-розп'!J108</f>
        <v>11</v>
      </c>
      <c r="K24" s="639"/>
      <c r="L24" s="639"/>
      <c r="M24" s="635">
        <f ca="1">'штат-розп'!O109</f>
        <v>204529.5975</v>
      </c>
      <c r="N24" s="635">
        <f ca="1">M24*12</f>
        <v>2454355.17</v>
      </c>
      <c r="O24" s="635" t="e">
        <f ca="1">#REF!-N24</f>
        <v>#REF!</v>
      </c>
      <c r="P24" s="635">
        <f ca="1">'штат-розп'!Q109</f>
        <v>453500</v>
      </c>
      <c r="Q24" s="635">
        <f ca="1">P24*12</f>
        <v>5442000</v>
      </c>
    </row>
    <row r="25" spans="1:17" s="619" customFormat="1" ht="24.95" customHeight="1">
      <c r="B25" s="632"/>
      <c r="D25" s="637">
        <v>3</v>
      </c>
      <c r="E25" s="639" t="s">
        <v>659</v>
      </c>
      <c r="F25" s="639">
        <f ca="1">SUM(F26:F32)</f>
        <v>119</v>
      </c>
      <c r="G25" s="639">
        <f t="shared" ref="G25:Q25" si="3">SUM(G26:G32)</f>
        <v>0</v>
      </c>
      <c r="H25" s="639">
        <f t="shared" si="3"/>
        <v>5</v>
      </c>
      <c r="I25" s="639">
        <f t="shared" si="3"/>
        <v>21</v>
      </c>
      <c r="J25" s="639">
        <f t="shared" si="3"/>
        <v>57</v>
      </c>
      <c r="K25" s="639">
        <f t="shared" si="3"/>
        <v>36</v>
      </c>
      <c r="L25" s="639">
        <f t="shared" si="3"/>
        <v>0</v>
      </c>
      <c r="M25" s="635">
        <f t="shared" si="3"/>
        <v>890432.02275</v>
      </c>
      <c r="N25" s="635">
        <f t="shared" si="3"/>
        <v>10685184.273000002</v>
      </c>
      <c r="O25" s="635" t="e">
        <f t="shared" si="3"/>
        <v>#REF!</v>
      </c>
      <c r="P25" s="635">
        <f t="shared" si="3"/>
        <v>1543606.5000000002</v>
      </c>
      <c r="Q25" s="635">
        <f t="shared" si="3"/>
        <v>18523278</v>
      </c>
    </row>
    <row r="26" spans="1:17" s="622" customFormat="1" ht="37.5">
      <c r="A26" s="622">
        <v>15</v>
      </c>
      <c r="B26" s="631">
        <f t="shared" ref="B26:B39" si="4">C26-F26</f>
        <v>0</v>
      </c>
      <c r="C26" s="631">
        <f ca="1">'штат-розп'!J120</f>
        <v>20</v>
      </c>
      <c r="D26" s="932" t="s">
        <v>843</v>
      </c>
      <c r="E26" s="633" t="str">
        <f ca="1">'штат-розп'!I111</f>
        <v>Акушерсько-гінекологічне відділення на 15 ліжок ( 6 акушерські , 6 патологія вагітних , 3 гінекологічні)</v>
      </c>
      <c r="F26" s="653">
        <f ca="1">SUM(G26:L26)</f>
        <v>20</v>
      </c>
      <c r="G26" s="653"/>
      <c r="H26" s="653">
        <f ca="1">'штат-розп'!J112</f>
        <v>1</v>
      </c>
      <c r="I26" s="634">
        <f ca="1">'штат-розп'!J113+'штат-розп'!J114+'штат-розп'!J115</f>
        <v>4</v>
      </c>
      <c r="J26" s="634">
        <f ca="1">'штат-розп'!J116+'штат-розп'!J117+'штат-розп'!J118</f>
        <v>10</v>
      </c>
      <c r="K26" s="634">
        <f ca="1">'штат-розп'!J119</f>
        <v>5</v>
      </c>
      <c r="L26" s="634"/>
      <c r="M26" s="665">
        <f ca="1">'штат-розп'!O120</f>
        <v>153489.63400000002</v>
      </c>
      <c r="N26" s="665">
        <f t="shared" ref="N26:N32" si="5">M26*12</f>
        <v>1841875.6080000002</v>
      </c>
      <c r="O26" s="665" t="e">
        <f ca="1">#REF!-N26</f>
        <v>#REF!</v>
      </c>
      <c r="P26" s="665">
        <f ca="1">'штат-розп'!Q120</f>
        <v>270207</v>
      </c>
      <c r="Q26" s="665">
        <f t="shared" ref="Q26:Q32" si="6">P26*12</f>
        <v>3242484</v>
      </c>
    </row>
    <row r="27" spans="1:17" s="622" customFormat="1" ht="24.95" customHeight="1">
      <c r="A27" s="622">
        <v>20</v>
      </c>
      <c r="B27" s="631">
        <f t="shared" si="4"/>
        <v>0</v>
      </c>
      <c r="C27" s="631">
        <f ca="1">'штат-розп'!J125</f>
        <v>12</v>
      </c>
      <c r="D27" s="932" t="s">
        <v>844</v>
      </c>
      <c r="E27" s="633" t="str">
        <f ca="1">'штат-розп'!I121</f>
        <v>Інфекційне відділення на 20 ліжок</v>
      </c>
      <c r="F27" s="653">
        <f t="shared" ref="F27:F32" si="7">SUM(G27:L27)</f>
        <v>12</v>
      </c>
      <c r="G27" s="653"/>
      <c r="H27" s="653"/>
      <c r="I27" s="634">
        <f ca="1">'штат-розп'!J122</f>
        <v>1</v>
      </c>
      <c r="J27" s="634">
        <f ca="1">'штат-розп'!J123</f>
        <v>6</v>
      </c>
      <c r="K27" s="634">
        <f ca="1">'штат-розп'!J124</f>
        <v>5</v>
      </c>
      <c r="L27" s="634"/>
      <c r="M27" s="665">
        <f ca="1">'штат-розп'!O125</f>
        <v>88610.615000000005</v>
      </c>
      <c r="N27" s="665">
        <f t="shared" si="5"/>
        <v>1063327.3800000001</v>
      </c>
      <c r="O27" s="665" t="e">
        <f ca="1">#REF!-N27</f>
        <v>#REF!</v>
      </c>
      <c r="P27" s="665">
        <f ca="1">'штат-розп'!Q125</f>
        <v>136463.04999999999</v>
      </c>
      <c r="Q27" s="665">
        <f t="shared" si="6"/>
        <v>1637556.5999999999</v>
      </c>
    </row>
    <row r="28" spans="1:17" s="622" customFormat="1" ht="24.95" customHeight="1">
      <c r="A28" s="622">
        <v>30</v>
      </c>
      <c r="B28" s="631">
        <f t="shared" si="4"/>
        <v>0</v>
      </c>
      <c r="C28" s="631">
        <f ca="1">'штат-розп'!J133</f>
        <v>14</v>
      </c>
      <c r="D28" s="932" t="s">
        <v>845</v>
      </c>
      <c r="E28" s="633" t="str">
        <f ca="1">'штат-розп'!I126</f>
        <v>Неврологічне відділення на 30 ліжок</v>
      </c>
      <c r="F28" s="653">
        <f t="shared" si="7"/>
        <v>14</v>
      </c>
      <c r="G28" s="653"/>
      <c r="H28" s="653">
        <f ca="1">'штат-розп'!J127</f>
        <v>1</v>
      </c>
      <c r="I28" s="634">
        <f ca="1">'штат-розп'!J128</f>
        <v>1</v>
      </c>
      <c r="J28" s="634">
        <f ca="1">'штат-розп'!J129+'штат-розп'!J130+'штат-розп'!J131</f>
        <v>7</v>
      </c>
      <c r="K28" s="634">
        <f ca="1">'штат-розп'!J132</f>
        <v>5</v>
      </c>
      <c r="L28" s="634"/>
      <c r="M28" s="665">
        <f ca="1">'штат-розп'!O133</f>
        <v>100034.91</v>
      </c>
      <c r="N28" s="665">
        <f t="shared" si="5"/>
        <v>1200418.92</v>
      </c>
      <c r="O28" s="665" t="e">
        <f ca="1">#REF!-N28</f>
        <v>#REF!</v>
      </c>
      <c r="P28" s="665">
        <f ca="1">'штат-розп'!Q133</f>
        <v>169707</v>
      </c>
      <c r="Q28" s="665">
        <f t="shared" si="6"/>
        <v>2036484</v>
      </c>
    </row>
    <row r="29" spans="1:17" s="622" customFormat="1" ht="24.95" customHeight="1">
      <c r="A29" s="622">
        <v>30</v>
      </c>
      <c r="B29" s="631">
        <f t="shared" si="4"/>
        <v>0</v>
      </c>
      <c r="C29" s="631">
        <f ca="1">'штат-розп'!J141</f>
        <v>14</v>
      </c>
      <c r="D29" s="932" t="s">
        <v>846</v>
      </c>
      <c r="E29" s="633" t="str">
        <f ca="1">'штат-розп'!I134</f>
        <v>Терапевтичне відділення на 30 ліжок</v>
      </c>
      <c r="F29" s="653">
        <f t="shared" si="7"/>
        <v>14</v>
      </c>
      <c r="G29" s="653"/>
      <c r="H29" s="653">
        <f ca="1">'штат-розп'!J135</f>
        <v>1</v>
      </c>
      <c r="I29" s="634">
        <f ca="1">'штат-розп'!J136</f>
        <v>1</v>
      </c>
      <c r="J29" s="634">
        <f ca="1">'штат-розп'!J137+'штат-розп'!J138+'штат-розп'!J139</f>
        <v>7</v>
      </c>
      <c r="K29" s="634">
        <f ca="1">'штат-розп'!J140</f>
        <v>5</v>
      </c>
      <c r="L29" s="634"/>
      <c r="M29" s="665">
        <f ca="1">'штат-розп'!O141</f>
        <v>99927.86</v>
      </c>
      <c r="N29" s="665">
        <f t="shared" si="5"/>
        <v>1199134.32</v>
      </c>
      <c r="O29" s="665" t="e">
        <f ca="1">#REF!-N29</f>
        <v>#REF!</v>
      </c>
      <c r="P29" s="665">
        <f ca="1">'штат-розп'!Q141</f>
        <v>169707</v>
      </c>
      <c r="Q29" s="665">
        <f t="shared" si="6"/>
        <v>2036484</v>
      </c>
    </row>
    <row r="30" spans="1:17" s="622" customFormat="1" ht="24.95" customHeight="1">
      <c r="A30" s="622">
        <v>10</v>
      </c>
      <c r="B30" s="631">
        <f t="shared" si="4"/>
        <v>0</v>
      </c>
      <c r="C30" s="631">
        <f ca="1">'штат-розп'!J148</f>
        <v>9</v>
      </c>
      <c r="D30" s="932" t="s">
        <v>847</v>
      </c>
      <c r="E30" s="633" t="str">
        <f ca="1">'штат-розп'!I142</f>
        <v>Педіатричне відділення  на 10 ліжок</v>
      </c>
      <c r="F30" s="653">
        <f t="shared" si="7"/>
        <v>9</v>
      </c>
      <c r="G30" s="653"/>
      <c r="H30" s="653"/>
      <c r="I30" s="634">
        <f ca="1">'штат-розп'!J143+'штат-розп'!J144</f>
        <v>1</v>
      </c>
      <c r="J30" s="634">
        <f ca="1">'штат-розп'!J145+'штат-розп'!J146</f>
        <v>6</v>
      </c>
      <c r="K30" s="634">
        <f ca="1">'штат-розп'!J147</f>
        <v>2</v>
      </c>
      <c r="L30" s="634"/>
      <c r="M30" s="665">
        <f ca="1">'штат-розп'!O148</f>
        <v>61573</v>
      </c>
      <c r="N30" s="665">
        <f t="shared" si="5"/>
        <v>738876</v>
      </c>
      <c r="O30" s="665" t="e">
        <f ca="1">#REF!-N30</f>
        <v>#REF!</v>
      </c>
      <c r="P30" s="665">
        <f ca="1">'штат-розп'!Q148</f>
        <v>115082.8</v>
      </c>
      <c r="Q30" s="665">
        <f t="shared" si="6"/>
        <v>1380993.6</v>
      </c>
    </row>
    <row r="31" spans="1:17" s="622" customFormat="1" ht="37.5">
      <c r="A31" s="622">
        <v>40</v>
      </c>
      <c r="B31" s="631">
        <f t="shared" si="4"/>
        <v>0</v>
      </c>
      <c r="C31" s="631">
        <f ca="1">'штат-розп'!J161</f>
        <v>28.5</v>
      </c>
      <c r="D31" s="932" t="s">
        <v>848</v>
      </c>
      <c r="E31" s="633" t="str">
        <f ca="1">'штат-розп'!I149</f>
        <v>Хірургічне відділення з операційним блоком на 40 ліжок ( в т.ч. 5 травматологічних , 5 урологічних )</v>
      </c>
      <c r="F31" s="653">
        <f t="shared" si="7"/>
        <v>28.5</v>
      </c>
      <c r="G31" s="653"/>
      <c r="H31" s="653">
        <f ca="1">'штат-розп'!J150</f>
        <v>1</v>
      </c>
      <c r="I31" s="634">
        <f ca="1">'штат-розп'!J151+'штат-розп'!J152+'штат-розп'!J153</f>
        <v>7.5</v>
      </c>
      <c r="J31" s="634">
        <f ca="1">'штат-розп'!J154+'штат-розп'!J155+'штат-розп'!J156+'штат-розп'!J159</f>
        <v>11</v>
      </c>
      <c r="K31" s="634">
        <f ca="1">'штат-розп'!J157+'штат-розп'!J160</f>
        <v>9</v>
      </c>
      <c r="L31" s="634"/>
      <c r="M31" s="665">
        <f ca="1">'штат-розп'!O161</f>
        <v>217933.43124999999</v>
      </c>
      <c r="N31" s="665">
        <f t="shared" si="5"/>
        <v>2615201.1749999998</v>
      </c>
      <c r="O31" s="665" t="e">
        <f ca="1">#REF!-N31</f>
        <v>#REF!</v>
      </c>
      <c r="P31" s="665">
        <f ca="1">'штат-розп'!Q161</f>
        <v>381976.6</v>
      </c>
      <c r="Q31" s="665">
        <f t="shared" si="6"/>
        <v>4583719.1999999993</v>
      </c>
    </row>
    <row r="32" spans="1:17" s="622" customFormat="1" ht="24.95" customHeight="1">
      <c r="A32" s="622">
        <v>6</v>
      </c>
      <c r="B32" s="631">
        <f t="shared" si="4"/>
        <v>0</v>
      </c>
      <c r="C32" s="631">
        <f ca="1">'штат-розп'!J169</f>
        <v>21.5</v>
      </c>
      <c r="D32" s="932" t="s">
        <v>849</v>
      </c>
      <c r="E32" s="633" t="str">
        <f ca="1">'штат-розп'!I162</f>
        <v>Відділення анестезіології та інтенсивної терапії на 6 ліжок</v>
      </c>
      <c r="F32" s="653">
        <f t="shared" si="7"/>
        <v>21.5</v>
      </c>
      <c r="G32" s="653"/>
      <c r="H32" s="653">
        <f ca="1">'штат-розп'!J163</f>
        <v>1</v>
      </c>
      <c r="I32" s="634">
        <f ca="1">'штат-розп'!J164</f>
        <v>5.5</v>
      </c>
      <c r="J32" s="634">
        <f ca="1">'штат-розп'!J165+'штат-розп'!J166+'штат-розп'!J167</f>
        <v>10</v>
      </c>
      <c r="K32" s="634">
        <f ca="1">'штат-розп'!J168</f>
        <v>5</v>
      </c>
      <c r="L32" s="634"/>
      <c r="M32" s="665">
        <f ca="1">'штат-розп'!O169</f>
        <v>168862.57250000001</v>
      </c>
      <c r="N32" s="665">
        <f t="shared" si="5"/>
        <v>2026350.87</v>
      </c>
      <c r="O32" s="665" t="e">
        <f ca="1">#REF!-N32</f>
        <v>#REF!</v>
      </c>
      <c r="P32" s="665">
        <f ca="1">'штат-розп'!Q169</f>
        <v>300463.05</v>
      </c>
      <c r="Q32" s="665">
        <f t="shared" si="6"/>
        <v>3605556.5999999996</v>
      </c>
    </row>
    <row r="33" spans="1:17" s="619" customFormat="1" ht="24.95" customHeight="1">
      <c r="B33" s="632"/>
      <c r="D33" s="637">
        <v>4</v>
      </c>
      <c r="E33" s="639" t="s">
        <v>686</v>
      </c>
      <c r="F33" s="639">
        <f ca="1">SUM(F34:F35)</f>
        <v>14</v>
      </c>
      <c r="G33" s="639">
        <f t="shared" ref="G33:Q33" si="8">SUM(G34:G35)</f>
        <v>0</v>
      </c>
      <c r="H33" s="639">
        <f t="shared" si="8"/>
        <v>0</v>
      </c>
      <c r="I33" s="639">
        <f t="shared" si="8"/>
        <v>2</v>
      </c>
      <c r="J33" s="639">
        <f t="shared" si="8"/>
        <v>7</v>
      </c>
      <c r="K33" s="639">
        <f t="shared" si="8"/>
        <v>5</v>
      </c>
      <c r="L33" s="639">
        <f t="shared" si="8"/>
        <v>0</v>
      </c>
      <c r="M33" s="639">
        <f t="shared" si="8"/>
        <v>95964.15</v>
      </c>
      <c r="N33" s="639">
        <f t="shared" si="8"/>
        <v>1151569.7999999998</v>
      </c>
      <c r="O33" s="639" t="e">
        <f t="shared" si="8"/>
        <v>#REF!</v>
      </c>
      <c r="P33" s="639">
        <f t="shared" si="8"/>
        <v>169707</v>
      </c>
      <c r="Q33" s="639">
        <f t="shared" si="8"/>
        <v>2036484</v>
      </c>
    </row>
    <row r="34" spans="1:17" s="622" customFormat="1" ht="24.95" customHeight="1">
      <c r="B34" s="631">
        <f>C34-F34</f>
        <v>0</v>
      </c>
      <c r="C34" s="631">
        <f ca="1">'штат-розп'!J176</f>
        <v>13</v>
      </c>
      <c r="D34" s="932" t="s">
        <v>850</v>
      </c>
      <c r="E34" s="633" t="str">
        <f ca="1">'штат-розп'!I171</f>
        <v>Приймальне відділення</v>
      </c>
      <c r="F34" s="653">
        <f ca="1">SUM(G34:L34)</f>
        <v>13</v>
      </c>
      <c r="G34" s="653"/>
      <c r="H34" s="653"/>
      <c r="I34" s="634">
        <f ca="1">'штат-розп'!J172</f>
        <v>2</v>
      </c>
      <c r="J34" s="634">
        <f ca="1">'штат-розп'!J173+'штат-розп'!J174</f>
        <v>6</v>
      </c>
      <c r="K34" s="634">
        <f ca="1">'штат-розп'!J175</f>
        <v>5</v>
      </c>
      <c r="L34" s="634"/>
      <c r="M34" s="665">
        <f ca="1">'штат-розп'!O176</f>
        <v>89264.15</v>
      </c>
      <c r="N34" s="665">
        <f ca="1">'ЗВ штат-розп'!M34*12</f>
        <v>1071169.7999999998</v>
      </c>
      <c r="O34" s="665" t="e">
        <f ca="1">#REF!-N34</f>
        <v>#REF!</v>
      </c>
      <c r="P34" s="665">
        <f ca="1">'штат-розп'!Q176</f>
        <v>156207</v>
      </c>
      <c r="Q34" s="665">
        <f ca="1">P34*12</f>
        <v>1874484</v>
      </c>
    </row>
    <row r="35" spans="1:17" s="622" customFormat="1" ht="24.95" customHeight="1">
      <c r="B35" s="631">
        <f>C35-F35</f>
        <v>0</v>
      </c>
      <c r="C35" s="631">
        <f ca="1">'штат-розп'!J179</f>
        <v>1</v>
      </c>
      <c r="D35" s="932" t="s">
        <v>851</v>
      </c>
      <c r="E35" s="633" t="str">
        <f ca="1">'штат-розп'!I177</f>
        <v>Централізована стерилізаційна</v>
      </c>
      <c r="F35" s="653">
        <f ca="1">SUM(G35:L35)</f>
        <v>1</v>
      </c>
      <c r="G35" s="653"/>
      <c r="H35" s="653"/>
      <c r="I35" s="634"/>
      <c r="J35" s="634">
        <f ca="1">'штат-розп'!J178</f>
        <v>1</v>
      </c>
      <c r="K35" s="634"/>
      <c r="L35" s="634"/>
      <c r="M35" s="665">
        <f ca="1">'штат-розп'!O179</f>
        <v>6700</v>
      </c>
      <c r="N35" s="665">
        <f ca="1">M35*12</f>
        <v>80400</v>
      </c>
      <c r="O35" s="665" t="e">
        <f ca="1">#REF!-N35</f>
        <v>#REF!</v>
      </c>
      <c r="P35" s="665">
        <f ca="1">'штат-розп'!Q179</f>
        <v>13500</v>
      </c>
      <c r="Q35" s="665">
        <f ca="1">P35*12</f>
        <v>162000</v>
      </c>
    </row>
    <row r="36" spans="1:17" s="622" customFormat="1" ht="24.95" customHeight="1">
      <c r="B36" s="631"/>
      <c r="D36" s="637">
        <v>5</v>
      </c>
      <c r="E36" s="639" t="s">
        <v>1285</v>
      </c>
      <c r="F36" s="639">
        <f ca="1">SUM(F37:F39)</f>
        <v>23.5</v>
      </c>
      <c r="G36" s="639">
        <f t="shared" ref="G36:Q36" si="9">SUM(G37:G39)</f>
        <v>0</v>
      </c>
      <c r="H36" s="639">
        <f t="shared" si="9"/>
        <v>2</v>
      </c>
      <c r="I36" s="639">
        <f t="shared" si="9"/>
        <v>1.5</v>
      </c>
      <c r="J36" s="639">
        <f t="shared" si="9"/>
        <v>18</v>
      </c>
      <c r="K36" s="639">
        <f t="shared" si="9"/>
        <v>2</v>
      </c>
      <c r="L36" s="639">
        <f t="shared" si="9"/>
        <v>0</v>
      </c>
      <c r="M36" s="635">
        <f t="shared" si="9"/>
        <v>180906.92300000001</v>
      </c>
      <c r="N36" s="635">
        <f t="shared" si="9"/>
        <v>2170883.0759999999</v>
      </c>
      <c r="O36" s="635" t="e">
        <f t="shared" si="9"/>
        <v>#REF!</v>
      </c>
      <c r="P36" s="635">
        <f t="shared" si="9"/>
        <v>327082.8</v>
      </c>
      <c r="Q36" s="635">
        <f t="shared" si="9"/>
        <v>3924993.5999999996</v>
      </c>
    </row>
    <row r="37" spans="1:17" s="622" customFormat="1" ht="24.95" customHeight="1">
      <c r="B37" s="631">
        <f t="shared" si="4"/>
        <v>0</v>
      </c>
      <c r="C37" s="631">
        <f ca="1">'штат-розп'!J186</f>
        <v>9</v>
      </c>
      <c r="D37" s="932" t="s">
        <v>852</v>
      </c>
      <c r="E37" s="633" t="str">
        <f ca="1">'штат-розп'!I181</f>
        <v>Клініко-діагностична лабораторія</v>
      </c>
      <c r="F37" s="653">
        <f ca="1">SUM(G37:L37)</f>
        <v>9</v>
      </c>
      <c r="G37" s="653"/>
      <c r="H37" s="653">
        <f ca="1">'штат-розп'!J182</f>
        <v>1</v>
      </c>
      <c r="I37" s="634">
        <f ca="1">'штат-розп'!J183</f>
        <v>1</v>
      </c>
      <c r="J37" s="634">
        <f ca="1">'штат-розп'!J184</f>
        <v>6</v>
      </c>
      <c r="K37" s="634">
        <f ca="1">'штат-розп'!J185</f>
        <v>1</v>
      </c>
      <c r="L37" s="634"/>
      <c r="M37" s="665">
        <f ca="1">'штат-розп'!O186</f>
        <v>72750.0965</v>
      </c>
      <c r="N37" s="665">
        <f ca="1">M37*12</f>
        <v>873001.15800000005</v>
      </c>
      <c r="O37" s="665" t="e">
        <f ca="1">#REF!-N37</f>
        <v>#REF!</v>
      </c>
      <c r="P37" s="665">
        <f ca="1">'штат-розп'!Q186</f>
        <v>128041.4</v>
      </c>
      <c r="Q37" s="665">
        <f ca="1">P37*12</f>
        <v>1536496.7999999998</v>
      </c>
    </row>
    <row r="38" spans="1:17" s="622" customFormat="1" ht="24.95" customHeight="1">
      <c r="B38" s="631">
        <f t="shared" si="4"/>
        <v>0</v>
      </c>
      <c r="C38" s="631">
        <f ca="1">'штат-розп'!J190</f>
        <v>4.5</v>
      </c>
      <c r="D38" s="932" t="s">
        <v>853</v>
      </c>
      <c r="E38" s="633" t="str">
        <f ca="1">'штат-розп'!I187</f>
        <v>Рентген кабінет</v>
      </c>
      <c r="F38" s="653">
        <f ca="1">SUM(G38:L38)</f>
        <v>4.5</v>
      </c>
      <c r="G38" s="653"/>
      <c r="H38" s="653"/>
      <c r="I38" s="634">
        <f ca="1">'штат-розп'!J188</f>
        <v>0.5</v>
      </c>
      <c r="J38" s="634">
        <f ca="1">'штат-розп'!J189</f>
        <v>4</v>
      </c>
      <c r="K38" s="634"/>
      <c r="L38" s="634"/>
      <c r="M38" s="665">
        <f ca="1">'штат-розп'!O190</f>
        <v>33379.195000000007</v>
      </c>
      <c r="N38" s="665">
        <f ca="1">M38*12</f>
        <v>400550.34000000008</v>
      </c>
      <c r="O38" s="665" t="e">
        <f ca="1">#REF!-N38</f>
        <v>#REF!</v>
      </c>
      <c r="P38" s="665">
        <f ca="1">'штат-розп'!Q190</f>
        <v>64000</v>
      </c>
      <c r="Q38" s="665">
        <f ca="1">P38*12</f>
        <v>768000</v>
      </c>
    </row>
    <row r="39" spans="1:17" s="622" customFormat="1" ht="24.95" customHeight="1">
      <c r="B39" s="631">
        <f t="shared" si="4"/>
        <v>0</v>
      </c>
      <c r="C39" s="631">
        <f ca="1">'штат-розп'!J197</f>
        <v>10</v>
      </c>
      <c r="D39" s="932" t="s">
        <v>854</v>
      </c>
      <c r="E39" s="633" t="str">
        <f ca="1">'штат-розп'!I191</f>
        <v>Фізіотерапевтичне відділення</v>
      </c>
      <c r="F39" s="653">
        <f ca="1">SUM(G39:L39)</f>
        <v>10</v>
      </c>
      <c r="G39" s="653"/>
      <c r="H39" s="653">
        <f ca="1">'штат-розп'!J192</f>
        <v>1</v>
      </c>
      <c r="I39" s="634"/>
      <c r="J39" s="634">
        <f ca="1">'штат-розп'!J193+'штат-розп'!J194+'штат-розп'!J195</f>
        <v>8</v>
      </c>
      <c r="K39" s="634">
        <f ca="1">'штат-розп'!J196</f>
        <v>1</v>
      </c>
      <c r="L39" s="634"/>
      <c r="M39" s="665">
        <f ca="1">'штат-розп'!O197</f>
        <v>74777.631499999989</v>
      </c>
      <c r="N39" s="665">
        <f ca="1">M39*12</f>
        <v>897331.57799999986</v>
      </c>
      <c r="O39" s="665" t="e">
        <f ca="1">#REF!-N39</f>
        <v>#REF!</v>
      </c>
      <c r="P39" s="665">
        <f ca="1">'штат-розп'!Q197</f>
        <v>135041.4</v>
      </c>
      <c r="Q39" s="665">
        <f ca="1">P39*12</f>
        <v>1620496.7999999998</v>
      </c>
    </row>
    <row r="40" spans="1:17" s="619" customFormat="1" ht="24.95" customHeight="1">
      <c r="B40" s="632">
        <f>C40-F40</f>
        <v>0</v>
      </c>
      <c r="C40" s="632">
        <f ca="1">'штат-розп'!J203</f>
        <v>4</v>
      </c>
      <c r="D40" s="637">
        <v>6</v>
      </c>
      <c r="E40" s="636" t="str">
        <f ca="1">'штат-розп'!I198</f>
        <v>ВІДДІЛ З ІНФЕКЦІЙНОГО КОНТРОЛЮ</v>
      </c>
      <c r="F40" s="636">
        <f ca="1">SUM(G40:L40)</f>
        <v>4</v>
      </c>
      <c r="G40" s="636"/>
      <c r="H40" s="636"/>
      <c r="I40" s="639">
        <f ca="1">'штат-розп'!J199</f>
        <v>1</v>
      </c>
      <c r="J40" s="639">
        <f ca="1">'штат-розп'!J200+'штат-розп'!J201+'штат-розп'!J202</f>
        <v>3</v>
      </c>
      <c r="K40" s="639"/>
      <c r="L40" s="639"/>
      <c r="M40" s="635">
        <f ca="1">'штат-розп'!O203</f>
        <v>28781.599999999999</v>
      </c>
      <c r="N40" s="635">
        <f ca="1">M40*12</f>
        <v>345379.19999999995</v>
      </c>
      <c r="O40" s="635" t="e">
        <f ca="1">#REF!-N40</f>
        <v>#REF!</v>
      </c>
      <c r="P40" s="635">
        <f ca="1">'штат-розп'!Q203</f>
        <v>60500</v>
      </c>
      <c r="Q40" s="635">
        <f ca="1">P40*12</f>
        <v>726000</v>
      </c>
    </row>
    <row r="41" spans="1:17" s="619" customFormat="1" ht="24.95" customHeight="1">
      <c r="A41" s="935"/>
      <c r="B41" s="632">
        <f>C41-F41</f>
        <v>0</v>
      </c>
      <c r="C41" s="632">
        <f ca="1">'штат-розп'!J207</f>
        <v>1.5</v>
      </c>
      <c r="D41" s="637">
        <v>7</v>
      </c>
      <c r="E41" s="636" t="str">
        <f ca="1">'штат-розп'!I204</f>
        <v>ЗАГАЛЬНО - ЛІКАРНЯНИЙ ПЕРСОНАЛ</v>
      </c>
      <c r="F41" s="636">
        <f ca="1">SUM(G41:L41)</f>
        <v>1.5</v>
      </c>
      <c r="G41" s="636"/>
      <c r="H41" s="636"/>
      <c r="I41" s="639"/>
      <c r="J41" s="639">
        <f ca="1">'штат-розп'!J205+'штат-розп'!J206</f>
        <v>1.5</v>
      </c>
      <c r="K41" s="639"/>
      <c r="L41" s="639"/>
      <c r="M41" s="635">
        <f ca="1">'штат-розп'!O207</f>
        <v>10050</v>
      </c>
      <c r="N41" s="635">
        <f ca="1">M41*12</f>
        <v>120600</v>
      </c>
      <c r="O41" s="635" t="e">
        <f ca="1">#REF!-N41</f>
        <v>#REF!</v>
      </c>
      <c r="P41" s="635">
        <f ca="1">'штат-розп'!Q207</f>
        <v>20250</v>
      </c>
      <c r="Q41" s="635">
        <f ca="1">P41*12</f>
        <v>243000</v>
      </c>
    </row>
    <row r="42" spans="1:17" s="619" customFormat="1" ht="35.25" customHeight="1">
      <c r="A42" s="619">
        <f>SUM(A26:A41)-A32</f>
        <v>145</v>
      </c>
      <c r="B42" s="632">
        <f>C42-F42</f>
        <v>0</v>
      </c>
      <c r="C42" s="632">
        <f ca="1">SUM(C19:C41)</f>
        <v>241.25</v>
      </c>
      <c r="D42" s="637"/>
      <c r="E42" s="638" t="s">
        <v>504</v>
      </c>
      <c r="F42" s="636">
        <f ca="1">F18+F24+F25+F33+F36+F40+F41</f>
        <v>241.25</v>
      </c>
      <c r="G42" s="636">
        <f t="shared" ref="G42:Q42" si="10">G18+G24+G25+G33+G36+G40+G41</f>
        <v>4</v>
      </c>
      <c r="H42" s="636">
        <f t="shared" si="10"/>
        <v>13</v>
      </c>
      <c r="I42" s="636">
        <f ca="1">I18+I24+I25+I33+I36+I40+I41</f>
        <v>40.75</v>
      </c>
      <c r="J42" s="636">
        <f t="shared" si="10"/>
        <v>98</v>
      </c>
      <c r="K42" s="636">
        <f t="shared" si="10"/>
        <v>43</v>
      </c>
      <c r="L42" s="636">
        <f t="shared" si="10"/>
        <v>42.5</v>
      </c>
      <c r="M42" s="654">
        <f t="shared" si="10"/>
        <v>1820305.44822125</v>
      </c>
      <c r="N42" s="654">
        <f t="shared" si="10"/>
        <v>21441665.378655005</v>
      </c>
      <c r="O42" s="654" t="e">
        <f t="shared" si="10"/>
        <v>#REF!</v>
      </c>
      <c r="P42" s="654">
        <f t="shared" si="10"/>
        <v>2998639.9142150003</v>
      </c>
      <c r="Q42" s="654">
        <f t="shared" si="10"/>
        <v>35581678.970579997</v>
      </c>
    </row>
    <row r="43" spans="1:17" s="658" customFormat="1" ht="24.95" hidden="1" customHeight="1">
      <c r="D43" s="630"/>
      <c r="E43" s="928"/>
      <c r="F43" s="634">
        <f ca="1">SUM(G43:L43)</f>
        <v>241.25</v>
      </c>
      <c r="G43" s="634">
        <f ca="1">'штат-розп'!J208</f>
        <v>4</v>
      </c>
      <c r="H43" s="634">
        <f ca="1">'штат-розп'!J209</f>
        <v>13</v>
      </c>
      <c r="I43" s="634">
        <f ca="1">'штат-розп'!J210</f>
        <v>40.75</v>
      </c>
      <c r="J43" s="634">
        <f ca="1">'штат-розп'!J211</f>
        <v>98</v>
      </c>
      <c r="K43" s="634">
        <f ca="1">'штат-розп'!J212</f>
        <v>43</v>
      </c>
      <c r="L43" s="634">
        <f ca="1">'штат-розп'!J213</f>
        <v>42.5</v>
      </c>
      <c r="M43" s="665">
        <f ca="1">'штат-розп'!O214</f>
        <v>1820305.4482212502</v>
      </c>
      <c r="N43" s="665">
        <f ca="1">'штат-розп'!P214</f>
        <v>21441665.378654998</v>
      </c>
      <c r="O43" s="665"/>
      <c r="P43" s="665">
        <f ca="1">'штат-розп'!Q214</f>
        <v>2998639.9142150003</v>
      </c>
      <c r="Q43" s="665">
        <f ca="1">'штат-розп'!R214</f>
        <v>35581678.970580004</v>
      </c>
    </row>
    <row r="44" spans="1:17" s="621" customFormat="1" ht="24.95" hidden="1" customHeight="1">
      <c r="D44" s="655"/>
      <c r="E44" s="929"/>
      <c r="F44" s="930">
        <f>F42-F43</f>
        <v>0</v>
      </c>
      <c r="G44" s="930">
        <f t="shared" ref="G44:Q44" si="11">G42-G43</f>
        <v>0</v>
      </c>
      <c r="H44" s="930">
        <f t="shared" si="11"/>
        <v>0</v>
      </c>
      <c r="I44" s="930">
        <f t="shared" si="11"/>
        <v>0</v>
      </c>
      <c r="J44" s="930">
        <f t="shared" si="11"/>
        <v>0</v>
      </c>
      <c r="K44" s="930">
        <f t="shared" si="11"/>
        <v>0</v>
      </c>
      <c r="L44" s="930">
        <f t="shared" si="11"/>
        <v>0</v>
      </c>
      <c r="M44" s="931">
        <f t="shared" si="11"/>
        <v>0</v>
      </c>
      <c r="N44" s="931">
        <f t="shared" si="11"/>
        <v>0</v>
      </c>
      <c r="O44" s="931" t="e">
        <f>O42-O43</f>
        <v>#REF!</v>
      </c>
      <c r="P44" s="931">
        <f t="shared" si="11"/>
        <v>0</v>
      </c>
      <c r="Q44" s="931">
        <f t="shared" si="11"/>
        <v>0</v>
      </c>
    </row>
    <row r="45" spans="1:17" s="642" customFormat="1" ht="24.95" customHeight="1">
      <c r="A45" s="651"/>
      <c r="B45" s="640"/>
      <c r="C45" s="651"/>
      <c r="D45" s="641"/>
      <c r="E45" s="623"/>
      <c r="I45" s="623"/>
      <c r="K45" s="623"/>
      <c r="L45" s="623"/>
      <c r="M45" s="641"/>
      <c r="N45" s="641"/>
      <c r="O45" s="641"/>
      <c r="P45" s="641"/>
      <c r="Q45" s="641"/>
    </row>
    <row r="46" spans="1:17" s="642" customFormat="1" ht="24.95" customHeight="1">
      <c r="A46" s="651"/>
      <c r="B46" s="640"/>
      <c r="C46" s="651"/>
      <c r="D46" s="641"/>
      <c r="E46" s="525" t="s">
        <v>1645</v>
      </c>
      <c r="F46" s="525"/>
      <c r="G46" s="525"/>
      <c r="H46" s="525"/>
      <c r="I46" s="525"/>
      <c r="J46" s="525"/>
      <c r="K46" s="525"/>
      <c r="L46" s="643"/>
      <c r="M46" s="666" t="str">
        <f>[37]ШР!J211</f>
        <v>Тетяна ВЕЛИЧКО</v>
      </c>
      <c r="N46" s="641"/>
      <c r="O46" s="641"/>
      <c r="P46" s="666"/>
      <c r="Q46" s="641"/>
    </row>
    <row r="47" spans="1:17" s="642" customFormat="1" ht="24.95" customHeight="1">
      <c r="A47" s="651"/>
      <c r="B47" s="640"/>
      <c r="C47" s="651"/>
      <c r="D47" s="641"/>
      <c r="E47" s="525"/>
      <c r="F47" s="525"/>
      <c r="G47" s="525"/>
      <c r="H47" s="525"/>
      <c r="I47" s="525"/>
      <c r="J47" s="525"/>
      <c r="K47" s="525"/>
      <c r="L47" s="643"/>
      <c r="M47" s="666"/>
      <c r="N47" s="641"/>
      <c r="O47" s="641"/>
      <c r="P47" s="666"/>
      <c r="Q47" s="641"/>
    </row>
    <row r="48" spans="1:17" s="642" customFormat="1" ht="24.95" customHeight="1">
      <c r="A48" s="651"/>
      <c r="B48" s="640"/>
      <c r="C48" s="651"/>
      <c r="D48" s="641"/>
      <c r="E48" s="525" t="s">
        <v>691</v>
      </c>
      <c r="F48" s="525"/>
      <c r="G48" s="525"/>
      <c r="H48" s="525"/>
      <c r="I48" s="525"/>
      <c r="J48" s="525"/>
      <c r="K48" s="525"/>
      <c r="L48" s="525"/>
      <c r="M48" s="524" t="str">
        <f>[37]ШР!J213</f>
        <v>Людмила ШКРОБОТ</v>
      </c>
      <c r="N48" s="641"/>
      <c r="O48" s="641"/>
      <c r="P48" s="524"/>
      <c r="Q48" s="641"/>
    </row>
    <row r="49" spans="1:17" s="646" customFormat="1" ht="24.95" customHeight="1">
      <c r="A49" s="652"/>
      <c r="B49" s="644"/>
      <c r="C49" s="652"/>
      <c r="D49" s="645"/>
      <c r="E49" s="525"/>
      <c r="F49" s="525"/>
      <c r="G49" s="525"/>
      <c r="H49" s="525"/>
      <c r="I49" s="525"/>
      <c r="J49" s="525"/>
      <c r="K49" s="525"/>
      <c r="L49" s="643"/>
      <c r="M49" s="666"/>
      <c r="N49" s="658"/>
      <c r="O49" s="658"/>
      <c r="P49" s="666"/>
      <c r="Q49" s="658"/>
    </row>
    <row r="50" spans="1:17" ht="24.95" customHeight="1">
      <c r="E50" s="525" t="s">
        <v>692</v>
      </c>
      <c r="F50" s="525"/>
      <c r="G50" s="525"/>
      <c r="H50" s="525"/>
      <c r="I50" s="525"/>
      <c r="J50" s="525"/>
      <c r="K50" s="525"/>
      <c r="L50" s="643"/>
      <c r="M50" s="666" t="str">
        <f>[37]ШР!J215</f>
        <v>Наталія РОСОЛОВСЬКА</v>
      </c>
      <c r="P50" s="666"/>
    </row>
    <row r="51" spans="1:17" ht="24.95" customHeight="1"/>
    <row r="52" spans="1:17">
      <c r="F52" s="647"/>
      <c r="G52" s="647"/>
      <c r="H52" s="647"/>
      <c r="I52" s="647"/>
      <c r="J52" s="647"/>
      <c r="K52" s="647"/>
      <c r="L52" s="647"/>
    </row>
  </sheetData>
  <mergeCells count="22">
    <mergeCell ref="G16:L16"/>
    <mergeCell ref="O16:O17"/>
    <mergeCell ref="P16:P17"/>
    <mergeCell ref="Q16:Q17"/>
    <mergeCell ref="K6:N6"/>
    <mergeCell ref="E7:N7"/>
    <mergeCell ref="D8:N8"/>
    <mergeCell ref="D9:N9"/>
    <mergeCell ref="K2:N2"/>
    <mergeCell ref="K3:N3"/>
    <mergeCell ref="K4:N4"/>
    <mergeCell ref="K5:N5"/>
    <mergeCell ref="D10:N10"/>
    <mergeCell ref="D11:E11"/>
    <mergeCell ref="D16:D17"/>
    <mergeCell ref="E16:E17"/>
    <mergeCell ref="F16:F17"/>
    <mergeCell ref="M16:M17"/>
    <mergeCell ref="N16:N17"/>
    <mergeCell ref="D12:Q12"/>
    <mergeCell ref="D13:Q13"/>
    <mergeCell ref="D14:Q14"/>
  </mergeCells>
  <phoneticPr fontId="66" type="noConversion"/>
  <pageMargins left="0.39370078740157483" right="0.39370078740157483" top="0.39370078740157483" bottom="0.39370078740157483" header="0.39370078740157483" footer="0.39370078740157483"/>
  <pageSetup paperSize="9" scale="39" orientation="landscape" horizontalDpi="4294967295" r:id="rId1"/>
  <headerFooter alignWithMargins="0"/>
  <rowBreaks count="1" manualBreakCount="1">
    <brk id="35" min="3" max="16" man="1"/>
  </rowBreaks>
  <ignoredErrors>
    <ignoredError sqref="N1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DQ90"/>
  <sheetViews>
    <sheetView view="pageBreakPreview" zoomScale="75" zoomScaleNormal="100" zoomScaleSheetLayoutView="75" workbookViewId="0">
      <pane xSplit="8" ySplit="5" topLeftCell="I6" activePane="bottomRight" state="frozen"/>
      <selection pane="topRight" activeCell="I1" sqref="I1"/>
      <selection pane="bottomLeft" activeCell="A9" sqref="A9"/>
      <selection pane="bottomRight" activeCell="P39" sqref="P39"/>
    </sheetView>
  </sheetViews>
  <sheetFormatPr defaultRowHeight="15.75"/>
  <cols>
    <col min="1" max="1" width="61.85546875" customWidth="1"/>
    <col min="2" max="2" width="7.7109375" style="284" bestFit="1" customWidth="1"/>
    <col min="3" max="3" width="10.28515625" bestFit="1" customWidth="1"/>
    <col min="4" max="4" width="9.28515625" bestFit="1" customWidth="1"/>
    <col min="5" max="5" width="10.140625" bestFit="1" customWidth="1"/>
    <col min="6" max="6" width="14.140625" bestFit="1" customWidth="1"/>
    <col min="7" max="7" width="8.85546875" bestFit="1" customWidth="1"/>
    <col min="8" max="8" width="11.42578125" bestFit="1" customWidth="1"/>
    <col min="9" max="9" width="7.7109375" bestFit="1" customWidth="1"/>
    <col min="10" max="10" width="8.85546875" bestFit="1" customWidth="1"/>
    <col min="11" max="11" width="8" bestFit="1" customWidth="1"/>
    <col min="12" max="13" width="9" bestFit="1" customWidth="1"/>
    <col min="14" max="14" width="8.7109375" bestFit="1" customWidth="1"/>
    <col min="15" max="15" width="9.5703125" bestFit="1" customWidth="1"/>
    <col min="16" max="17" width="8.7109375" bestFit="1" customWidth="1"/>
    <col min="18" max="18" width="10.42578125" bestFit="1" customWidth="1"/>
    <col min="19" max="19" width="11.42578125" bestFit="1" customWidth="1"/>
    <col min="20" max="20" width="8" bestFit="1" customWidth="1"/>
    <col min="21" max="22" width="9" bestFit="1" customWidth="1"/>
    <col min="23" max="23" width="8.7109375" bestFit="1" customWidth="1"/>
    <col min="24" max="24" width="5.7109375" bestFit="1" customWidth="1"/>
    <col min="25" max="25" width="8.7109375" bestFit="1" customWidth="1"/>
    <col min="26" max="26" width="3.140625" bestFit="1" customWidth="1"/>
    <col min="27" max="27" width="5.140625" bestFit="1" customWidth="1"/>
    <col min="28" max="28" width="11.140625" bestFit="1" customWidth="1"/>
    <col min="29" max="29" width="7.85546875" bestFit="1" customWidth="1"/>
    <col min="30" max="31" width="8.85546875" bestFit="1" customWidth="1"/>
    <col min="32" max="32" width="8.5703125" bestFit="1" customWidth="1"/>
    <col min="33" max="33" width="5.7109375" bestFit="1" customWidth="1"/>
    <col min="34" max="34" width="8.5703125" bestFit="1" customWidth="1"/>
    <col min="35" max="35" width="3.140625" bestFit="1" customWidth="1"/>
    <col min="36" max="36" width="5.140625" bestFit="1" customWidth="1"/>
    <col min="37" max="37" width="11.42578125" bestFit="1" customWidth="1"/>
    <col min="38" max="38" width="7.85546875" bestFit="1" customWidth="1"/>
    <col min="39" max="40" width="8.85546875" bestFit="1" customWidth="1"/>
    <col min="41" max="41" width="8.5703125" bestFit="1" customWidth="1"/>
    <col min="42" max="42" width="5.7109375" bestFit="1" customWidth="1"/>
    <col min="43" max="43" width="8.5703125" bestFit="1" customWidth="1"/>
    <col min="44" max="44" width="3.140625" bestFit="1" customWidth="1"/>
    <col min="45" max="45" width="5.140625" bestFit="1" customWidth="1"/>
    <col min="46" max="46" width="11.42578125" bestFit="1" customWidth="1"/>
    <col min="47" max="47" width="7.85546875" bestFit="1" customWidth="1"/>
    <col min="48" max="49" width="8.85546875" bestFit="1" customWidth="1"/>
    <col min="50" max="50" width="8.42578125" bestFit="1" customWidth="1"/>
    <col min="51" max="51" width="5.42578125" bestFit="1" customWidth="1"/>
    <col min="52" max="52" width="8.42578125" bestFit="1" customWidth="1"/>
    <col min="53" max="53" width="3" bestFit="1" customWidth="1"/>
    <col min="54" max="54" width="5" bestFit="1" customWidth="1"/>
    <col min="55" max="55" width="10" bestFit="1" customWidth="1"/>
    <col min="56" max="56" width="7.7109375" bestFit="1" customWidth="1"/>
    <col min="57" max="58" width="8.7109375" bestFit="1" customWidth="1"/>
    <col min="59" max="59" width="8.42578125" bestFit="1" customWidth="1"/>
    <col min="60" max="60" width="5.42578125" bestFit="1" customWidth="1"/>
    <col min="61" max="61" width="8.42578125" bestFit="1" customWidth="1"/>
    <col min="62" max="62" width="3" bestFit="1" customWidth="1"/>
    <col min="63" max="63" width="5.140625" bestFit="1" customWidth="1"/>
    <col min="64" max="64" width="10" bestFit="1" customWidth="1"/>
    <col min="65" max="65" width="7.7109375" bestFit="1" customWidth="1"/>
    <col min="66" max="67" width="8.7109375" bestFit="1" customWidth="1"/>
    <col min="68" max="68" width="8.42578125" bestFit="1" customWidth="1"/>
    <col min="69" max="69" width="5.42578125" bestFit="1" customWidth="1"/>
    <col min="70" max="70" width="8.42578125" bestFit="1" customWidth="1"/>
    <col min="71" max="71" width="3" bestFit="1" customWidth="1"/>
    <col min="72" max="72" width="5" bestFit="1" customWidth="1"/>
    <col min="73" max="73" width="10" bestFit="1" customWidth="1"/>
    <col min="74" max="74" width="7.7109375" bestFit="1" customWidth="1"/>
    <col min="75" max="76" width="8.7109375" bestFit="1" customWidth="1"/>
    <col min="77" max="77" width="8.42578125" bestFit="1" customWidth="1"/>
    <col min="78" max="78" width="5.42578125" bestFit="1" customWidth="1"/>
    <col min="79" max="79" width="8.42578125" bestFit="1" customWidth="1"/>
    <col min="80" max="80" width="3" bestFit="1" customWidth="1"/>
    <col min="81" max="81" width="5.140625" bestFit="1" customWidth="1"/>
    <col min="82" max="82" width="10" bestFit="1" customWidth="1"/>
    <col min="83" max="83" width="7.7109375" bestFit="1" customWidth="1"/>
    <col min="84" max="85" width="8.7109375" bestFit="1" customWidth="1"/>
    <col min="86" max="86" width="8.42578125" bestFit="1" customWidth="1"/>
    <col min="87" max="87" width="5.42578125" bestFit="1" customWidth="1"/>
    <col min="88" max="88" width="8.42578125" bestFit="1" customWidth="1"/>
    <col min="89" max="89" width="3" bestFit="1" customWidth="1"/>
    <col min="90" max="90" width="5.140625" bestFit="1" customWidth="1"/>
    <col min="91" max="91" width="10" bestFit="1" customWidth="1"/>
    <col min="92" max="92" width="7.7109375" bestFit="1" customWidth="1"/>
    <col min="93" max="94" width="8.7109375" bestFit="1" customWidth="1"/>
    <col min="95" max="95" width="8.42578125" bestFit="1" customWidth="1"/>
    <col min="96" max="96" width="5.42578125" bestFit="1" customWidth="1"/>
    <col min="97" max="97" width="8.42578125" bestFit="1" customWidth="1"/>
    <col min="98" max="98" width="3" bestFit="1" customWidth="1"/>
    <col min="99" max="99" width="5" bestFit="1" customWidth="1"/>
    <col min="100" max="100" width="10" bestFit="1" customWidth="1"/>
    <col min="101" max="101" width="7.7109375" bestFit="1" customWidth="1"/>
    <col min="102" max="103" width="8.7109375" bestFit="1" customWidth="1"/>
    <col min="104" max="104" width="8.42578125" bestFit="1" customWidth="1"/>
    <col min="105" max="105" width="5.42578125" bestFit="1" customWidth="1"/>
    <col min="106" max="106" width="8.42578125" bestFit="1" customWidth="1"/>
    <col min="107" max="107" width="3" bestFit="1" customWidth="1"/>
    <col min="108" max="108" width="5" bestFit="1" customWidth="1"/>
    <col min="109" max="109" width="10" bestFit="1" customWidth="1"/>
    <col min="110" max="110" width="7.7109375" bestFit="1" customWidth="1"/>
    <col min="111" max="112" width="8.7109375" bestFit="1" customWidth="1"/>
    <col min="113" max="113" width="8.42578125" bestFit="1" customWidth="1"/>
    <col min="114" max="114" width="5.42578125" bestFit="1" customWidth="1"/>
    <col min="115" max="115" width="8.42578125" bestFit="1" customWidth="1"/>
    <col min="116" max="116" width="3" bestFit="1" customWidth="1"/>
    <col min="117" max="117" width="7.140625" bestFit="1" customWidth="1"/>
    <col min="118" max="118" width="12" bestFit="1" customWidth="1"/>
    <col min="119" max="119" width="10.42578125" style="383" bestFit="1" customWidth="1"/>
    <col min="120" max="121" width="9.140625" style="383"/>
  </cols>
  <sheetData>
    <row r="1" spans="1:121" s="214" customFormat="1">
      <c r="A1" s="675" t="s">
        <v>760</v>
      </c>
      <c r="B1" s="280"/>
      <c r="C1" s="207"/>
      <c r="D1" s="208"/>
      <c r="E1" s="208"/>
      <c r="F1" s="208"/>
      <c r="G1" s="206"/>
      <c r="H1" s="209"/>
      <c r="I1" s="208"/>
      <c r="J1" s="208"/>
      <c r="K1" s="208"/>
      <c r="L1" s="208"/>
      <c r="M1" s="208"/>
      <c r="N1" s="208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1"/>
      <c r="AH1" s="210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3"/>
      <c r="DN1" s="213"/>
      <c r="DO1" s="377"/>
      <c r="DP1" s="377"/>
      <c r="DQ1" s="377"/>
    </row>
    <row r="2" spans="1:121" s="288" customFormat="1" ht="26.25">
      <c r="A2" s="289"/>
      <c r="B2" s="305"/>
      <c r="C2" s="306"/>
      <c r="D2" s="285" t="s">
        <v>1694</v>
      </c>
      <c r="E2" s="285" t="s">
        <v>1695</v>
      </c>
      <c r="F2" s="285" t="s">
        <v>1943</v>
      </c>
      <c r="G2" s="285" t="s">
        <v>1696</v>
      </c>
      <c r="H2" s="307" t="s">
        <v>1697</v>
      </c>
      <c r="I2" s="1668" t="s">
        <v>1611</v>
      </c>
      <c r="J2" s="1669"/>
      <c r="K2" s="1669"/>
      <c r="L2" s="1669"/>
      <c r="M2" s="1669"/>
      <c r="N2" s="1669"/>
      <c r="O2" s="1669"/>
      <c r="P2" s="1669"/>
      <c r="Q2" s="1670"/>
      <c r="R2" s="1668" t="s">
        <v>1612</v>
      </c>
      <c r="S2" s="1669"/>
      <c r="T2" s="1669"/>
      <c r="U2" s="1669"/>
      <c r="V2" s="1669"/>
      <c r="W2" s="1669"/>
      <c r="X2" s="1669"/>
      <c r="Y2" s="1669"/>
      <c r="Z2" s="1670"/>
      <c r="AA2" s="1668" t="s">
        <v>1613</v>
      </c>
      <c r="AB2" s="1669"/>
      <c r="AC2" s="1669"/>
      <c r="AD2" s="1669"/>
      <c r="AE2" s="1669"/>
      <c r="AF2" s="1669"/>
      <c r="AG2" s="1669"/>
      <c r="AH2" s="1669"/>
      <c r="AI2" s="1670"/>
      <c r="AJ2" s="1668" t="s">
        <v>1614</v>
      </c>
      <c r="AK2" s="1669"/>
      <c r="AL2" s="1669"/>
      <c r="AM2" s="1669"/>
      <c r="AN2" s="1669"/>
      <c r="AO2" s="1669"/>
      <c r="AP2" s="1669"/>
      <c r="AQ2" s="1669"/>
      <c r="AR2" s="1670"/>
      <c r="AS2" s="1668" t="s">
        <v>1615</v>
      </c>
      <c r="AT2" s="1669"/>
      <c r="AU2" s="1669"/>
      <c r="AV2" s="1669"/>
      <c r="AW2" s="1669"/>
      <c r="AX2" s="1669"/>
      <c r="AY2" s="1669"/>
      <c r="AZ2" s="1669"/>
      <c r="BA2" s="1670"/>
      <c r="BB2" s="1668" t="s">
        <v>1616</v>
      </c>
      <c r="BC2" s="1669"/>
      <c r="BD2" s="1669"/>
      <c r="BE2" s="1669"/>
      <c r="BF2" s="1669"/>
      <c r="BG2" s="1669"/>
      <c r="BH2" s="1669"/>
      <c r="BI2" s="1669"/>
      <c r="BJ2" s="1670"/>
      <c r="BK2" s="1668" t="s">
        <v>1617</v>
      </c>
      <c r="BL2" s="1669"/>
      <c r="BM2" s="1669"/>
      <c r="BN2" s="1669"/>
      <c r="BO2" s="1669"/>
      <c r="BP2" s="1669"/>
      <c r="BQ2" s="1669"/>
      <c r="BR2" s="1669"/>
      <c r="BS2" s="1670"/>
      <c r="BT2" s="1668" t="s">
        <v>1618</v>
      </c>
      <c r="BU2" s="1669"/>
      <c r="BV2" s="1669"/>
      <c r="BW2" s="1669"/>
      <c r="BX2" s="1669"/>
      <c r="BY2" s="1669"/>
      <c r="BZ2" s="1669"/>
      <c r="CA2" s="1669"/>
      <c r="CB2" s="1670"/>
      <c r="CC2" s="1668" t="s">
        <v>1619</v>
      </c>
      <c r="CD2" s="1669"/>
      <c r="CE2" s="1669"/>
      <c r="CF2" s="1669"/>
      <c r="CG2" s="1669"/>
      <c r="CH2" s="1669"/>
      <c r="CI2" s="1669"/>
      <c r="CJ2" s="1669"/>
      <c r="CK2" s="1670"/>
      <c r="CL2" s="1668" t="s">
        <v>1620</v>
      </c>
      <c r="CM2" s="1669"/>
      <c r="CN2" s="1669"/>
      <c r="CO2" s="1669"/>
      <c r="CP2" s="1669"/>
      <c r="CQ2" s="1669"/>
      <c r="CR2" s="1669"/>
      <c r="CS2" s="1669"/>
      <c r="CT2" s="1670"/>
      <c r="CU2" s="1668" t="s">
        <v>1621</v>
      </c>
      <c r="CV2" s="1669"/>
      <c r="CW2" s="1669"/>
      <c r="CX2" s="1669"/>
      <c r="CY2" s="1669"/>
      <c r="CZ2" s="1669"/>
      <c r="DA2" s="1669"/>
      <c r="DB2" s="1669"/>
      <c r="DC2" s="1670"/>
      <c r="DD2" s="1668" t="s">
        <v>1622</v>
      </c>
      <c r="DE2" s="1669"/>
      <c r="DF2" s="1669"/>
      <c r="DG2" s="1669"/>
      <c r="DH2" s="1669"/>
      <c r="DI2" s="1669"/>
      <c r="DJ2" s="1669"/>
      <c r="DK2" s="1669"/>
      <c r="DL2" s="1670"/>
      <c r="DM2" s="287" t="s">
        <v>1698</v>
      </c>
      <c r="DN2" s="286" t="s">
        <v>761</v>
      </c>
      <c r="DO2" s="345"/>
      <c r="DP2" s="345"/>
      <c r="DQ2" s="345"/>
    </row>
    <row r="3" spans="1:121" s="370" customFormat="1" ht="34.5">
      <c r="A3" s="365"/>
      <c r="B3" s="365"/>
      <c r="C3" s="366"/>
      <c r="D3" s="365"/>
      <c r="E3" s="365"/>
      <c r="F3" s="365"/>
      <c r="G3" s="365"/>
      <c r="H3" s="367"/>
      <c r="I3" s="304" t="s">
        <v>1699</v>
      </c>
      <c r="J3" s="368" t="s">
        <v>1700</v>
      </c>
      <c r="K3" s="368" t="s">
        <v>1701</v>
      </c>
      <c r="L3" s="368" t="s">
        <v>1702</v>
      </c>
      <c r="M3" s="369" t="s">
        <v>1703</v>
      </c>
      <c r="N3" s="369" t="s">
        <v>1704</v>
      </c>
      <c r="O3" s="369" t="s">
        <v>1699</v>
      </c>
      <c r="P3" s="369" t="s">
        <v>1705</v>
      </c>
      <c r="Q3" s="369"/>
      <c r="R3" s="368" t="s">
        <v>1699</v>
      </c>
      <c r="S3" s="368" t="s">
        <v>1700</v>
      </c>
      <c r="T3" s="368" t="s">
        <v>1701</v>
      </c>
      <c r="U3" s="368" t="s">
        <v>1702</v>
      </c>
      <c r="V3" s="369" t="s">
        <v>1703</v>
      </c>
      <c r="W3" s="369" t="s">
        <v>1704</v>
      </c>
      <c r="X3" s="369" t="s">
        <v>1699</v>
      </c>
      <c r="Y3" s="369" t="s">
        <v>1705</v>
      </c>
      <c r="Z3" s="369"/>
      <c r="AA3" s="368" t="s">
        <v>1699</v>
      </c>
      <c r="AB3" s="368" t="s">
        <v>1700</v>
      </c>
      <c r="AC3" s="368" t="s">
        <v>1701</v>
      </c>
      <c r="AD3" s="368" t="s">
        <v>1702</v>
      </c>
      <c r="AE3" s="369" t="s">
        <v>1703</v>
      </c>
      <c r="AF3" s="369" t="s">
        <v>1704</v>
      </c>
      <c r="AG3" s="369" t="s">
        <v>1699</v>
      </c>
      <c r="AH3" s="369" t="s">
        <v>1705</v>
      </c>
      <c r="AI3" s="369"/>
      <c r="AJ3" s="368" t="s">
        <v>1699</v>
      </c>
      <c r="AK3" s="368" t="s">
        <v>1700</v>
      </c>
      <c r="AL3" s="368" t="s">
        <v>1701</v>
      </c>
      <c r="AM3" s="368" t="s">
        <v>1702</v>
      </c>
      <c r="AN3" s="369" t="s">
        <v>1703</v>
      </c>
      <c r="AO3" s="369" t="s">
        <v>1704</v>
      </c>
      <c r="AP3" s="369" t="s">
        <v>1699</v>
      </c>
      <c r="AQ3" s="369" t="s">
        <v>1705</v>
      </c>
      <c r="AR3" s="369"/>
      <c r="AS3" s="368" t="s">
        <v>1699</v>
      </c>
      <c r="AT3" s="368" t="s">
        <v>1700</v>
      </c>
      <c r="AU3" s="368" t="s">
        <v>1701</v>
      </c>
      <c r="AV3" s="368" t="s">
        <v>1702</v>
      </c>
      <c r="AW3" s="369" t="s">
        <v>1703</v>
      </c>
      <c r="AX3" s="369" t="s">
        <v>1704</v>
      </c>
      <c r="AY3" s="369" t="s">
        <v>1699</v>
      </c>
      <c r="AZ3" s="369" t="s">
        <v>1705</v>
      </c>
      <c r="BA3" s="369"/>
      <c r="BB3" s="368" t="s">
        <v>1699</v>
      </c>
      <c r="BC3" s="368" t="s">
        <v>1700</v>
      </c>
      <c r="BD3" s="368" t="s">
        <v>1701</v>
      </c>
      <c r="BE3" s="368" t="s">
        <v>1702</v>
      </c>
      <c r="BF3" s="369" t="s">
        <v>1703</v>
      </c>
      <c r="BG3" s="369" t="s">
        <v>1704</v>
      </c>
      <c r="BH3" s="369" t="s">
        <v>1699</v>
      </c>
      <c r="BI3" s="369" t="s">
        <v>1705</v>
      </c>
      <c r="BJ3" s="369"/>
      <c r="BK3" s="368" t="s">
        <v>1699</v>
      </c>
      <c r="BL3" s="368" t="s">
        <v>1700</v>
      </c>
      <c r="BM3" s="368" t="s">
        <v>1701</v>
      </c>
      <c r="BN3" s="368" t="s">
        <v>1702</v>
      </c>
      <c r="BO3" s="369" t="s">
        <v>1703</v>
      </c>
      <c r="BP3" s="369" t="s">
        <v>1704</v>
      </c>
      <c r="BQ3" s="369" t="s">
        <v>1699</v>
      </c>
      <c r="BR3" s="369" t="s">
        <v>1705</v>
      </c>
      <c r="BS3" s="369"/>
      <c r="BT3" s="368" t="s">
        <v>1699</v>
      </c>
      <c r="BU3" s="368" t="s">
        <v>1700</v>
      </c>
      <c r="BV3" s="368" t="s">
        <v>1701</v>
      </c>
      <c r="BW3" s="368" t="s">
        <v>1702</v>
      </c>
      <c r="BX3" s="369" t="s">
        <v>1703</v>
      </c>
      <c r="BY3" s="369" t="s">
        <v>1704</v>
      </c>
      <c r="BZ3" s="369" t="s">
        <v>1699</v>
      </c>
      <c r="CA3" s="369" t="s">
        <v>1705</v>
      </c>
      <c r="CB3" s="369"/>
      <c r="CC3" s="368" t="s">
        <v>1699</v>
      </c>
      <c r="CD3" s="368" t="s">
        <v>1700</v>
      </c>
      <c r="CE3" s="368" t="s">
        <v>1701</v>
      </c>
      <c r="CF3" s="368" t="s">
        <v>1702</v>
      </c>
      <c r="CG3" s="369" t="s">
        <v>1703</v>
      </c>
      <c r="CH3" s="369" t="s">
        <v>1704</v>
      </c>
      <c r="CI3" s="369" t="s">
        <v>1699</v>
      </c>
      <c r="CJ3" s="369" t="s">
        <v>1705</v>
      </c>
      <c r="CK3" s="369"/>
      <c r="CL3" s="368" t="s">
        <v>1699</v>
      </c>
      <c r="CM3" s="368" t="s">
        <v>1700</v>
      </c>
      <c r="CN3" s="368" t="s">
        <v>1701</v>
      </c>
      <c r="CO3" s="368" t="s">
        <v>1702</v>
      </c>
      <c r="CP3" s="369" t="s">
        <v>1703</v>
      </c>
      <c r="CQ3" s="369" t="s">
        <v>1704</v>
      </c>
      <c r="CR3" s="369" t="s">
        <v>1699</v>
      </c>
      <c r="CS3" s="369" t="s">
        <v>1705</v>
      </c>
      <c r="CT3" s="369"/>
      <c r="CU3" s="368" t="s">
        <v>1699</v>
      </c>
      <c r="CV3" s="368" t="s">
        <v>1700</v>
      </c>
      <c r="CW3" s="368" t="s">
        <v>1701</v>
      </c>
      <c r="CX3" s="368" t="s">
        <v>1700</v>
      </c>
      <c r="CY3" s="369" t="s">
        <v>1703</v>
      </c>
      <c r="CZ3" s="369" t="s">
        <v>1704</v>
      </c>
      <c r="DA3" s="369" t="s">
        <v>1699</v>
      </c>
      <c r="DB3" s="369" t="s">
        <v>1705</v>
      </c>
      <c r="DC3" s="369"/>
      <c r="DD3" s="368" t="s">
        <v>1699</v>
      </c>
      <c r="DE3" s="368" t="s">
        <v>1700</v>
      </c>
      <c r="DF3" s="368" t="s">
        <v>1701</v>
      </c>
      <c r="DG3" s="368" t="s">
        <v>1702</v>
      </c>
      <c r="DH3" s="369" t="s">
        <v>1703</v>
      </c>
      <c r="DI3" s="369" t="s">
        <v>1704</v>
      </c>
      <c r="DJ3" s="369" t="s">
        <v>1699</v>
      </c>
      <c r="DK3" s="369" t="s">
        <v>1705</v>
      </c>
      <c r="DL3" s="369"/>
      <c r="DM3" s="365"/>
      <c r="DN3" s="365"/>
      <c r="DO3" s="345"/>
      <c r="DP3" s="345"/>
      <c r="DQ3" s="345"/>
    </row>
    <row r="4" spans="1:121" s="295" customFormat="1">
      <c r="A4" s="308" t="s">
        <v>1706</v>
      </c>
      <c r="B4" s="289"/>
      <c r="C4" s="309"/>
      <c r="D4" s="290"/>
      <c r="E4" s="290"/>
      <c r="F4" s="290"/>
      <c r="G4" s="293"/>
      <c r="H4" s="310"/>
      <c r="I4" s="225"/>
      <c r="J4" s="290"/>
      <c r="K4" s="290"/>
      <c r="L4" s="290"/>
      <c r="M4" s="290"/>
      <c r="N4" s="290"/>
      <c r="O4" s="290"/>
      <c r="P4" s="290"/>
      <c r="Q4" s="290">
        <v>2</v>
      </c>
      <c r="R4" s="290"/>
      <c r="S4" s="290"/>
      <c r="T4" s="290"/>
      <c r="U4" s="290"/>
      <c r="V4" s="290"/>
      <c r="W4" s="290"/>
      <c r="X4" s="290"/>
      <c r="Y4" s="290"/>
      <c r="Z4" s="291">
        <v>0</v>
      </c>
      <c r="AA4" s="290"/>
      <c r="AB4" s="290"/>
      <c r="AC4" s="290"/>
      <c r="AD4" s="290"/>
      <c r="AE4" s="291"/>
      <c r="AF4" s="291"/>
      <c r="AG4" s="290"/>
      <c r="AH4" s="290"/>
      <c r="AI4" s="290">
        <v>1</v>
      </c>
      <c r="AJ4" s="290"/>
      <c r="AK4" s="290"/>
      <c r="AL4" s="290"/>
      <c r="AM4" s="290"/>
      <c r="AN4" s="290"/>
      <c r="AO4" s="290"/>
      <c r="AP4" s="290"/>
      <c r="AQ4" s="290"/>
      <c r="AR4" s="290">
        <v>1</v>
      </c>
      <c r="AS4" s="290"/>
      <c r="AT4" s="290"/>
      <c r="AU4" s="290"/>
      <c r="AV4" s="290"/>
      <c r="AW4" s="290"/>
      <c r="AX4" s="290"/>
      <c r="AY4" s="290"/>
      <c r="AZ4" s="290"/>
      <c r="BA4" s="290">
        <v>2</v>
      </c>
      <c r="BB4" s="290"/>
      <c r="BC4" s="290"/>
      <c r="BD4" s="290"/>
      <c r="BE4" s="290"/>
      <c r="BF4" s="290"/>
      <c r="BG4" s="290"/>
      <c r="BH4" s="290"/>
      <c r="BI4" s="290"/>
      <c r="BJ4" s="290">
        <v>2</v>
      </c>
      <c r="BK4" s="290"/>
      <c r="BL4" s="290"/>
      <c r="BM4" s="290"/>
      <c r="BN4" s="290"/>
      <c r="BO4" s="290"/>
      <c r="BP4" s="290"/>
      <c r="BQ4" s="290"/>
      <c r="BR4" s="290"/>
      <c r="BS4" s="290">
        <v>1</v>
      </c>
      <c r="BT4" s="290"/>
      <c r="BU4" s="290"/>
      <c r="BV4" s="290"/>
      <c r="BW4" s="290"/>
      <c r="BX4" s="290"/>
      <c r="BY4" s="290"/>
      <c r="BZ4" s="290"/>
      <c r="CA4" s="290"/>
      <c r="CB4" s="290">
        <v>1</v>
      </c>
      <c r="CC4" s="290"/>
      <c r="CD4" s="290"/>
      <c r="CE4" s="290"/>
      <c r="CF4" s="290"/>
      <c r="CG4" s="290"/>
      <c r="CH4" s="290"/>
      <c r="CI4" s="290"/>
      <c r="CJ4" s="290"/>
      <c r="CK4" s="290">
        <v>0</v>
      </c>
      <c r="CL4" s="290"/>
      <c r="CM4" s="290"/>
      <c r="CN4" s="290"/>
      <c r="CO4" s="290"/>
      <c r="CP4" s="290"/>
      <c r="CQ4" s="290"/>
      <c r="CR4" s="290"/>
      <c r="CS4" s="290"/>
      <c r="CT4" s="290">
        <v>1</v>
      </c>
      <c r="CU4" s="290"/>
      <c r="CV4" s="290"/>
      <c r="CW4" s="290"/>
      <c r="CX4" s="290"/>
      <c r="CY4" s="290"/>
      <c r="CZ4" s="290"/>
      <c r="DA4" s="290"/>
      <c r="DB4" s="290"/>
      <c r="DC4" s="290">
        <v>0</v>
      </c>
      <c r="DD4" s="290"/>
      <c r="DE4" s="290"/>
      <c r="DF4" s="290"/>
      <c r="DG4" s="290"/>
      <c r="DH4" s="290"/>
      <c r="DI4" s="290"/>
      <c r="DJ4" s="290"/>
      <c r="DK4" s="290"/>
      <c r="DL4" s="290">
        <v>1</v>
      </c>
      <c r="DM4" s="293"/>
      <c r="DN4" s="294">
        <f>SUM(O4:DL4)</f>
        <v>12</v>
      </c>
      <c r="DO4" s="378"/>
      <c r="DP4" s="378"/>
      <c r="DQ4" s="378"/>
    </row>
    <row r="5" spans="1:121" s="295" customFormat="1">
      <c r="A5" s="311" t="s">
        <v>1904</v>
      </c>
      <c r="B5" s="312"/>
      <c r="C5" s="313"/>
      <c r="D5" s="314"/>
      <c r="E5" s="314"/>
      <c r="F5" s="314"/>
      <c r="G5" s="315"/>
      <c r="H5" s="316"/>
      <c r="I5" s="232"/>
      <c r="J5" s="314"/>
      <c r="K5" s="314"/>
      <c r="L5" s="314"/>
      <c r="M5" s="314"/>
      <c r="N5" s="314"/>
      <c r="O5" s="290"/>
      <c r="P5" s="290"/>
      <c r="Q5" s="290"/>
      <c r="R5" s="314"/>
      <c r="S5" s="314"/>
      <c r="T5" s="314"/>
      <c r="U5" s="314"/>
      <c r="V5" s="290"/>
      <c r="W5" s="290"/>
      <c r="X5" s="290"/>
      <c r="Y5" s="290"/>
      <c r="Z5" s="291"/>
      <c r="AA5" s="314"/>
      <c r="AB5" s="314"/>
      <c r="AC5" s="314"/>
      <c r="AD5" s="314"/>
      <c r="AE5" s="291"/>
      <c r="AF5" s="291"/>
      <c r="AG5" s="290"/>
      <c r="AH5" s="290"/>
      <c r="AI5" s="296"/>
      <c r="AJ5" s="314"/>
      <c r="AK5" s="314"/>
      <c r="AL5" s="314"/>
      <c r="AM5" s="314"/>
      <c r="AN5" s="296"/>
      <c r="AO5" s="296"/>
      <c r="AP5" s="290"/>
      <c r="AQ5" s="290"/>
      <c r="AR5" s="296"/>
      <c r="AS5" s="314"/>
      <c r="AT5" s="314"/>
      <c r="AU5" s="314"/>
      <c r="AV5" s="314"/>
      <c r="AW5" s="296"/>
      <c r="AX5" s="296"/>
      <c r="AY5" s="290"/>
      <c r="AZ5" s="290"/>
      <c r="BA5" s="296"/>
      <c r="BB5" s="314"/>
      <c r="BC5" s="314"/>
      <c r="BD5" s="314"/>
      <c r="BE5" s="314"/>
      <c r="BF5" s="296"/>
      <c r="BG5" s="296"/>
      <c r="BH5" s="290"/>
      <c r="BI5" s="290"/>
      <c r="BJ5" s="296"/>
      <c r="BK5" s="314"/>
      <c r="BL5" s="314"/>
      <c r="BM5" s="314"/>
      <c r="BN5" s="314"/>
      <c r="BO5" s="296"/>
      <c r="BP5" s="296"/>
      <c r="BQ5" s="290"/>
      <c r="BR5" s="290"/>
      <c r="BS5" s="296"/>
      <c r="BT5" s="314"/>
      <c r="BU5" s="314"/>
      <c r="BV5" s="314"/>
      <c r="BW5" s="314"/>
      <c r="BX5" s="296"/>
      <c r="BY5" s="296"/>
      <c r="BZ5" s="290"/>
      <c r="CA5" s="290"/>
      <c r="CB5" s="296"/>
      <c r="CC5" s="314"/>
      <c r="CD5" s="314"/>
      <c r="CE5" s="314"/>
      <c r="CF5" s="314"/>
      <c r="CG5" s="296"/>
      <c r="CH5" s="296"/>
      <c r="CI5" s="290"/>
      <c r="CJ5" s="290"/>
      <c r="CK5" s="296"/>
      <c r="CL5" s="314"/>
      <c r="CM5" s="314"/>
      <c r="CN5" s="314"/>
      <c r="CO5" s="314"/>
      <c r="CP5" s="296"/>
      <c r="CQ5" s="296"/>
      <c r="CR5" s="290"/>
      <c r="CS5" s="290"/>
      <c r="CT5" s="296"/>
      <c r="CU5" s="314"/>
      <c r="CV5" s="314"/>
      <c r="CW5" s="314"/>
      <c r="CX5" s="314"/>
      <c r="CY5" s="296"/>
      <c r="CZ5" s="296"/>
      <c r="DA5" s="290"/>
      <c r="DB5" s="290"/>
      <c r="DC5" s="296"/>
      <c r="DD5" s="314"/>
      <c r="DE5" s="314"/>
      <c r="DF5" s="314"/>
      <c r="DG5" s="314"/>
      <c r="DH5" s="296"/>
      <c r="DI5" s="296"/>
      <c r="DJ5" s="290"/>
      <c r="DK5" s="290"/>
      <c r="DL5" s="296"/>
      <c r="DM5" s="293"/>
      <c r="DN5" s="294"/>
      <c r="DO5" s="378"/>
      <c r="DP5" s="378"/>
      <c r="DQ5" s="378"/>
    </row>
    <row r="6" spans="1:121" s="295" customFormat="1">
      <c r="A6" s="317" t="s">
        <v>1728</v>
      </c>
      <c r="B6" s="286">
        <f>2*11*24</f>
        <v>528</v>
      </c>
      <c r="C6" s="318">
        <v>0.35</v>
      </c>
      <c r="D6" s="319">
        <v>2</v>
      </c>
      <c r="E6" s="319">
        <f>D6*24</f>
        <v>48</v>
      </c>
      <c r="F6" s="319"/>
      <c r="G6" s="221"/>
      <c r="H6" s="320">
        <v>12</v>
      </c>
      <c r="I6" s="240">
        <v>6133</v>
      </c>
      <c r="J6" s="321">
        <f>I6/138.6</f>
        <v>44.249639249639252</v>
      </c>
      <c r="K6" s="322">
        <v>33</v>
      </c>
      <c r="L6" s="321">
        <f>J6</f>
        <v>44.249639249639252</v>
      </c>
      <c r="M6" s="319">
        <f>D6</f>
        <v>2</v>
      </c>
      <c r="N6" s="323">
        <f>M6*24*Q4</f>
        <v>96</v>
      </c>
      <c r="O6" s="297">
        <f>L6</f>
        <v>44.249639249639252</v>
      </c>
      <c r="P6" s="298">
        <f>N6*O6</f>
        <v>4247.9653679653684</v>
      </c>
      <c r="Q6" s="298"/>
      <c r="R6" s="319">
        <f>I6</f>
        <v>6133</v>
      </c>
      <c r="S6" s="322">
        <f>R6/138.6</f>
        <v>44.249639249639252</v>
      </c>
      <c r="T6" s="322">
        <v>33</v>
      </c>
      <c r="U6" s="321">
        <f>S6*C6</f>
        <v>15.487373737373737</v>
      </c>
      <c r="V6" s="319">
        <f>M6</f>
        <v>2</v>
      </c>
      <c r="W6" s="323">
        <f>V6*8*Z4</f>
        <v>0</v>
      </c>
      <c r="X6" s="297">
        <f>U6</f>
        <v>15.487373737373737</v>
      </c>
      <c r="Y6" s="298">
        <f>W6*X6</f>
        <v>0</v>
      </c>
      <c r="Z6" s="299"/>
      <c r="AA6" s="319">
        <f t="shared" ref="AA6:AA18" si="0">R6</f>
        <v>6133</v>
      </c>
      <c r="AB6" s="321">
        <f>AA6/132</f>
        <v>46.462121212121211</v>
      </c>
      <c r="AC6" s="322">
        <v>33</v>
      </c>
      <c r="AD6" s="321">
        <f>AB6</f>
        <v>46.462121212121211</v>
      </c>
      <c r="AE6" s="319">
        <f>V6</f>
        <v>2</v>
      </c>
      <c r="AF6" s="323">
        <f>AE6*24*AI4</f>
        <v>48</v>
      </c>
      <c r="AG6" s="297">
        <f>AD6</f>
        <v>46.462121212121211</v>
      </c>
      <c r="AH6" s="298">
        <f>AF6*AG6</f>
        <v>2230.181818181818</v>
      </c>
      <c r="AI6" s="300"/>
      <c r="AJ6" s="319">
        <f t="shared" ref="AJ6:AJ18" si="1">AA6</f>
        <v>6133</v>
      </c>
      <c r="AK6" s="322">
        <f>AJ6/138.6</f>
        <v>44.249639249639252</v>
      </c>
      <c r="AL6" s="322">
        <v>33</v>
      </c>
      <c r="AM6" s="321">
        <f>AK6</f>
        <v>44.249639249639252</v>
      </c>
      <c r="AN6" s="319">
        <f>AE6</f>
        <v>2</v>
      </c>
      <c r="AO6" s="323">
        <f>AN6*24*AR4</f>
        <v>48</v>
      </c>
      <c r="AP6" s="297">
        <f>AM6</f>
        <v>44.249639249639252</v>
      </c>
      <c r="AQ6" s="298">
        <f>AO6*AP6</f>
        <v>2123.9826839826842</v>
      </c>
      <c r="AR6" s="300"/>
      <c r="AS6" s="319">
        <f t="shared" ref="AS6:AS18" si="2">I6</f>
        <v>6133</v>
      </c>
      <c r="AT6" s="322">
        <f>AS6/125.4</f>
        <v>48.907496012759168</v>
      </c>
      <c r="AU6" s="322">
        <v>33</v>
      </c>
      <c r="AV6" s="321">
        <f>AT6</f>
        <v>48.907496012759168</v>
      </c>
      <c r="AW6" s="319">
        <f>AN6</f>
        <v>2</v>
      </c>
      <c r="AX6" s="323">
        <f>AW6*24*BA4</f>
        <v>96</v>
      </c>
      <c r="AY6" s="297">
        <f>AV6</f>
        <v>48.907496012759168</v>
      </c>
      <c r="AZ6" s="298">
        <f>AX6*AY6</f>
        <v>4695.1196172248801</v>
      </c>
      <c r="BA6" s="300"/>
      <c r="BB6" s="319">
        <f t="shared" ref="BB6:BB18" si="3">AS6</f>
        <v>6133</v>
      </c>
      <c r="BC6" s="321">
        <f>BB6/125.4</f>
        <v>48.907496012759168</v>
      </c>
      <c r="BD6" s="322">
        <v>33</v>
      </c>
      <c r="BE6" s="321">
        <f>BC6</f>
        <v>48.907496012759168</v>
      </c>
      <c r="BF6" s="319">
        <f>AW6</f>
        <v>2</v>
      </c>
      <c r="BG6" s="323">
        <f>BF6*24*BJ4</f>
        <v>96</v>
      </c>
      <c r="BH6" s="297">
        <f>BE6</f>
        <v>48.907496012759168</v>
      </c>
      <c r="BI6" s="298">
        <f>BG6*BH6</f>
        <v>4695.1196172248801</v>
      </c>
      <c r="BJ6" s="300"/>
      <c r="BK6" s="319">
        <f>BB6</f>
        <v>6133</v>
      </c>
      <c r="BL6" s="322">
        <f>BK6/151.8</f>
        <v>40.401844532279313</v>
      </c>
      <c r="BM6" s="322">
        <v>33</v>
      </c>
      <c r="BN6" s="321">
        <f>BL6</f>
        <v>40.401844532279313</v>
      </c>
      <c r="BO6" s="319">
        <f>BF6</f>
        <v>2</v>
      </c>
      <c r="BP6" s="323">
        <f>BO6*24*BS4</f>
        <v>48</v>
      </c>
      <c r="BQ6" s="297">
        <f>BN6</f>
        <v>40.401844532279313</v>
      </c>
      <c r="BR6" s="298">
        <f>BP6*BQ6</f>
        <v>1939.288537549407</v>
      </c>
      <c r="BS6" s="300"/>
      <c r="BT6" s="319">
        <f t="shared" ref="BT6:BT14" si="4">BK6</f>
        <v>6133</v>
      </c>
      <c r="BU6" s="322">
        <f>BT6/132</f>
        <v>46.462121212121211</v>
      </c>
      <c r="BV6" s="322">
        <v>33</v>
      </c>
      <c r="BW6" s="321">
        <f>BU6</f>
        <v>46.462121212121211</v>
      </c>
      <c r="BX6" s="319">
        <f>BO6</f>
        <v>2</v>
      </c>
      <c r="BY6" s="323">
        <f>BX6*24*CB4</f>
        <v>48</v>
      </c>
      <c r="BZ6" s="297">
        <f>BW6</f>
        <v>46.462121212121211</v>
      </c>
      <c r="CA6" s="298">
        <f>BY6*BZ6</f>
        <v>2230.181818181818</v>
      </c>
      <c r="CB6" s="300"/>
      <c r="CC6" s="319">
        <f>BT6</f>
        <v>6133</v>
      </c>
      <c r="CD6" s="322">
        <f>CC6/145.2</f>
        <v>42.23829201101929</v>
      </c>
      <c r="CE6" s="322">
        <v>33</v>
      </c>
      <c r="CF6" s="321">
        <f>CD6</f>
        <v>42.23829201101929</v>
      </c>
      <c r="CG6" s="319">
        <f>BX6</f>
        <v>2</v>
      </c>
      <c r="CH6" s="323">
        <f>CG6*24*CK4</f>
        <v>0</v>
      </c>
      <c r="CI6" s="297">
        <f>CF6</f>
        <v>42.23829201101929</v>
      </c>
      <c r="CJ6" s="298">
        <f>CH6*CI6</f>
        <v>0</v>
      </c>
      <c r="CK6" s="300"/>
      <c r="CL6" s="319">
        <v>6322</v>
      </c>
      <c r="CM6" s="322">
        <f>CL6/151.8</f>
        <v>41.64690382081686</v>
      </c>
      <c r="CN6" s="322">
        <v>33</v>
      </c>
      <c r="CO6" s="321">
        <f>CM6</f>
        <v>41.64690382081686</v>
      </c>
      <c r="CP6" s="319">
        <f>CG6</f>
        <v>2</v>
      </c>
      <c r="CQ6" s="323">
        <f>CP6*24*CT4</f>
        <v>48</v>
      </c>
      <c r="CR6" s="297">
        <f>CO6</f>
        <v>41.64690382081686</v>
      </c>
      <c r="CS6" s="298">
        <f>CQ6*CR6</f>
        <v>1999.0513833992093</v>
      </c>
      <c r="CT6" s="300"/>
      <c r="CU6" s="319">
        <f t="shared" ref="CU6:CU18" si="5">CL6</f>
        <v>6322</v>
      </c>
      <c r="CV6" s="322">
        <f>CU6/132</f>
        <v>47.893939393939391</v>
      </c>
      <c r="CW6" s="322">
        <v>33</v>
      </c>
      <c r="CX6" s="321">
        <f>CV6</f>
        <v>47.893939393939391</v>
      </c>
      <c r="CY6" s="319">
        <f>CP6</f>
        <v>2</v>
      </c>
      <c r="CZ6" s="323">
        <f>CY6*24*DC4</f>
        <v>0</v>
      </c>
      <c r="DA6" s="297">
        <f>CX6</f>
        <v>47.893939393939391</v>
      </c>
      <c r="DB6" s="298">
        <f>CZ6*DA6</f>
        <v>0</v>
      </c>
      <c r="DC6" s="300"/>
      <c r="DD6" s="319">
        <f t="shared" ref="DD6:DD18" si="6">CU6</f>
        <v>6322</v>
      </c>
      <c r="DE6" s="322">
        <f>DD6/151.8</f>
        <v>41.64690382081686</v>
      </c>
      <c r="DF6" s="322">
        <v>33</v>
      </c>
      <c r="DG6" s="321">
        <f>DE6</f>
        <v>41.64690382081686</v>
      </c>
      <c r="DH6" s="319">
        <f>CY6</f>
        <v>2</v>
      </c>
      <c r="DI6" s="323">
        <f>DH6*24*DL4</f>
        <v>48</v>
      </c>
      <c r="DJ6" s="297">
        <f>DG6</f>
        <v>41.64690382081686</v>
      </c>
      <c r="DK6" s="298">
        <f>DI6*DJ6</f>
        <v>1999.0513833992093</v>
      </c>
      <c r="DL6" s="300"/>
      <c r="DM6" s="301">
        <f>N6+W6+AF6+AO6+AX6+BG6+BP6+BY6+CH6+CQ6+CZ6+DI6</f>
        <v>576</v>
      </c>
      <c r="DN6" s="301">
        <f>P6+Y6+AH6+AQ6+AZ6+BI6+BR6+CA6+CJ6+CS6+DB6+DK6</f>
        <v>26159.94222710927</v>
      </c>
      <c r="DO6" s="379"/>
      <c r="DP6" s="378"/>
      <c r="DQ6" s="378"/>
    </row>
    <row r="7" spans="1:121" s="295" customFormat="1">
      <c r="A7" s="317" t="s">
        <v>1728</v>
      </c>
      <c r="B7" s="286">
        <f>2*10*24</f>
        <v>480</v>
      </c>
      <c r="C7" s="318">
        <v>0.5</v>
      </c>
      <c r="D7" s="319">
        <f>2</f>
        <v>2</v>
      </c>
      <c r="E7" s="319">
        <f>D7*24</f>
        <v>48</v>
      </c>
      <c r="F7" s="319"/>
      <c r="G7" s="221"/>
      <c r="H7" s="320">
        <v>13</v>
      </c>
      <c r="I7" s="240">
        <v>6567</v>
      </c>
      <c r="J7" s="321">
        <f>I7/161.7</f>
        <v>40.612244897959187</v>
      </c>
      <c r="K7" s="322">
        <v>38.5</v>
      </c>
      <c r="L7" s="321">
        <f>J7</f>
        <v>40.612244897959187</v>
      </c>
      <c r="M7" s="319">
        <f t="shared" ref="M7:M18" si="7">D7</f>
        <v>2</v>
      </c>
      <c r="N7" s="323">
        <f>M7*24*Q4</f>
        <v>96</v>
      </c>
      <c r="O7" s="297">
        <f>L7</f>
        <v>40.612244897959187</v>
      </c>
      <c r="P7" s="298">
        <f>N7*O7</f>
        <v>3898.7755102040819</v>
      </c>
      <c r="Q7" s="298"/>
      <c r="R7" s="319">
        <f t="shared" ref="R7:R18" si="8">I7</f>
        <v>6567</v>
      </c>
      <c r="S7" s="322">
        <f>R7/161.7</f>
        <v>40.612244897959187</v>
      </c>
      <c r="T7" s="322">
        <v>38.5</v>
      </c>
      <c r="U7" s="321">
        <f>S7*C7</f>
        <v>20.306122448979593</v>
      </c>
      <c r="V7" s="319">
        <f t="shared" ref="V7:V18" si="9">M7</f>
        <v>2</v>
      </c>
      <c r="W7" s="323">
        <f>V7*8*Z4</f>
        <v>0</v>
      </c>
      <c r="X7" s="297">
        <f>U7</f>
        <v>20.306122448979593</v>
      </c>
      <c r="Y7" s="298">
        <f>W7*X7</f>
        <v>0</v>
      </c>
      <c r="Z7" s="299"/>
      <c r="AA7" s="319">
        <f t="shared" si="0"/>
        <v>6567</v>
      </c>
      <c r="AB7" s="321">
        <f>AA7/154</f>
        <v>42.642857142857146</v>
      </c>
      <c r="AC7" s="322">
        <v>38.5</v>
      </c>
      <c r="AD7" s="321">
        <f>AB7</f>
        <v>42.642857142857146</v>
      </c>
      <c r="AE7" s="319">
        <f t="shared" ref="AE7:AE18" si="10">V7</f>
        <v>2</v>
      </c>
      <c r="AF7" s="323">
        <f>AE7*24*AI4</f>
        <v>48</v>
      </c>
      <c r="AG7" s="297">
        <f>AD7</f>
        <v>42.642857142857146</v>
      </c>
      <c r="AH7" s="298">
        <f>AF7*AG7</f>
        <v>2046.8571428571431</v>
      </c>
      <c r="AI7" s="300"/>
      <c r="AJ7" s="319">
        <f t="shared" si="1"/>
        <v>6567</v>
      </c>
      <c r="AK7" s="322">
        <f>AJ7/161.7</f>
        <v>40.612244897959187</v>
      </c>
      <c r="AL7" s="322">
        <v>38.5</v>
      </c>
      <c r="AM7" s="321">
        <f>AK7</f>
        <v>40.612244897959187</v>
      </c>
      <c r="AN7" s="319">
        <f t="shared" ref="AN7:AN18" si="11">AE7</f>
        <v>2</v>
      </c>
      <c r="AO7" s="323">
        <f>AN7*24*AR4</f>
        <v>48</v>
      </c>
      <c r="AP7" s="297">
        <f>AM7</f>
        <v>40.612244897959187</v>
      </c>
      <c r="AQ7" s="298">
        <f>AO7*AP7</f>
        <v>1949.387755102041</v>
      </c>
      <c r="AR7" s="300"/>
      <c r="AS7" s="319">
        <f t="shared" si="2"/>
        <v>6567</v>
      </c>
      <c r="AT7" s="322">
        <f>AS7/146.3</f>
        <v>44.887218045112782</v>
      </c>
      <c r="AU7" s="322">
        <v>38.5</v>
      </c>
      <c r="AV7" s="321">
        <f>AT7</f>
        <v>44.887218045112782</v>
      </c>
      <c r="AW7" s="319">
        <f t="shared" ref="AW7:AW18" si="12">AN7</f>
        <v>2</v>
      </c>
      <c r="AX7" s="323">
        <f>AW7*24*BA4</f>
        <v>96</v>
      </c>
      <c r="AY7" s="297">
        <f>AV7</f>
        <v>44.887218045112782</v>
      </c>
      <c r="AZ7" s="298">
        <f>AX7*AY7</f>
        <v>4309.1729323308273</v>
      </c>
      <c r="BA7" s="300"/>
      <c r="BB7" s="319">
        <f t="shared" si="3"/>
        <v>6567</v>
      </c>
      <c r="BC7" s="321">
        <f>BB7/146.3</f>
        <v>44.887218045112782</v>
      </c>
      <c r="BD7" s="322">
        <v>38.5</v>
      </c>
      <c r="BE7" s="321">
        <f>BC7</f>
        <v>44.887218045112782</v>
      </c>
      <c r="BF7" s="319">
        <f t="shared" ref="BF7:BF18" si="13">AW7</f>
        <v>2</v>
      </c>
      <c r="BG7" s="323">
        <f>BF7*24*BJ4</f>
        <v>96</v>
      </c>
      <c r="BH7" s="297">
        <f>BE7</f>
        <v>44.887218045112782</v>
      </c>
      <c r="BI7" s="298">
        <f>BG7*BH7</f>
        <v>4309.1729323308273</v>
      </c>
      <c r="BJ7" s="300"/>
      <c r="BK7" s="319">
        <f t="shared" ref="BK7:BK18" si="14">BB7</f>
        <v>6567</v>
      </c>
      <c r="BL7" s="322">
        <f>BK7/177.1</f>
        <v>37.080745341614907</v>
      </c>
      <c r="BM7" s="322">
        <v>38.5</v>
      </c>
      <c r="BN7" s="321">
        <f>BL7</f>
        <v>37.080745341614907</v>
      </c>
      <c r="BO7" s="319">
        <f t="shared" ref="BO7:BO18" si="15">BF7</f>
        <v>2</v>
      </c>
      <c r="BP7" s="323">
        <f>BO7*24*BS4</f>
        <v>48</v>
      </c>
      <c r="BQ7" s="297">
        <f>BN7</f>
        <v>37.080745341614907</v>
      </c>
      <c r="BR7" s="298">
        <f>BP7*BQ7</f>
        <v>1779.8757763975154</v>
      </c>
      <c r="BS7" s="300"/>
      <c r="BT7" s="319">
        <f t="shared" si="4"/>
        <v>6567</v>
      </c>
      <c r="BU7" s="322">
        <f>BT7/154</f>
        <v>42.642857142857146</v>
      </c>
      <c r="BV7" s="322">
        <v>38.5</v>
      </c>
      <c r="BW7" s="321">
        <f>BU7</f>
        <v>42.642857142857146</v>
      </c>
      <c r="BX7" s="319">
        <f t="shared" ref="BX7:BX18" si="16">BO7</f>
        <v>2</v>
      </c>
      <c r="BY7" s="323">
        <f>BX7*24*CB4</f>
        <v>48</v>
      </c>
      <c r="BZ7" s="297">
        <f>BW7</f>
        <v>42.642857142857146</v>
      </c>
      <c r="CA7" s="298">
        <f>BY7*BZ7</f>
        <v>2046.8571428571431</v>
      </c>
      <c r="CB7" s="300"/>
      <c r="CC7" s="319">
        <f t="shared" ref="CC7:CC18" si="17">BT7</f>
        <v>6567</v>
      </c>
      <c r="CD7" s="322">
        <f>CC7/169.4</f>
        <v>38.766233766233768</v>
      </c>
      <c r="CE7" s="322">
        <v>38.5</v>
      </c>
      <c r="CF7" s="321">
        <f>CD7</f>
        <v>38.766233766233768</v>
      </c>
      <c r="CG7" s="319">
        <f t="shared" ref="CG7:CG18" si="18">BX7</f>
        <v>2</v>
      </c>
      <c r="CH7" s="323">
        <f>CG7*24*CK4</f>
        <v>0</v>
      </c>
      <c r="CI7" s="297">
        <f>CF7</f>
        <v>38.766233766233768</v>
      </c>
      <c r="CJ7" s="298">
        <f>CH7*CI7</f>
        <v>0</v>
      </c>
      <c r="CK7" s="300"/>
      <c r="CL7" s="319">
        <v>6769</v>
      </c>
      <c r="CM7" s="322">
        <f>CL7/177.1</f>
        <v>38.221343873517789</v>
      </c>
      <c r="CN7" s="322">
        <v>38.5</v>
      </c>
      <c r="CO7" s="321">
        <f>CM7</f>
        <v>38.221343873517789</v>
      </c>
      <c r="CP7" s="319">
        <f t="shared" ref="CP7:CP18" si="19">CG7</f>
        <v>2</v>
      </c>
      <c r="CQ7" s="323">
        <f>CP7*24*CT4</f>
        <v>48</v>
      </c>
      <c r="CR7" s="297">
        <f>CO7</f>
        <v>38.221343873517789</v>
      </c>
      <c r="CS7" s="298">
        <f>CQ7*CR7</f>
        <v>1834.624505928854</v>
      </c>
      <c r="CT7" s="300"/>
      <c r="CU7" s="319">
        <f t="shared" si="5"/>
        <v>6769</v>
      </c>
      <c r="CV7" s="322">
        <f>CU7/154</f>
        <v>43.954545454545453</v>
      </c>
      <c r="CW7" s="322">
        <v>38.5</v>
      </c>
      <c r="CX7" s="321">
        <f>CV7</f>
        <v>43.954545454545453</v>
      </c>
      <c r="CY7" s="319">
        <f t="shared" ref="CY7:CY18" si="20">CP7</f>
        <v>2</v>
      </c>
      <c r="CZ7" s="323">
        <f>CY7*24*DC4</f>
        <v>0</v>
      </c>
      <c r="DA7" s="297">
        <f>CX7</f>
        <v>43.954545454545453</v>
      </c>
      <c r="DB7" s="298">
        <f>CZ7*DA7</f>
        <v>0</v>
      </c>
      <c r="DC7" s="300"/>
      <c r="DD7" s="319">
        <f t="shared" si="6"/>
        <v>6769</v>
      </c>
      <c r="DE7" s="322">
        <f>DD7/177.1</f>
        <v>38.221343873517789</v>
      </c>
      <c r="DF7" s="322">
        <v>38.5</v>
      </c>
      <c r="DG7" s="321">
        <f>DE7</f>
        <v>38.221343873517789</v>
      </c>
      <c r="DH7" s="319">
        <f t="shared" ref="DH7:DH18" si="21">CY7</f>
        <v>2</v>
      </c>
      <c r="DI7" s="323">
        <f>DH7*24*DL4</f>
        <v>48</v>
      </c>
      <c r="DJ7" s="297">
        <f>DG7</f>
        <v>38.221343873517789</v>
      </c>
      <c r="DK7" s="298">
        <f>DI7*DJ7</f>
        <v>1834.624505928854</v>
      </c>
      <c r="DL7" s="300"/>
      <c r="DM7" s="301">
        <f>N7+W7+AF7+AO7+AX7+BG7+BP7+BY7+CH7+CQ7+CZ7+DI7</f>
        <v>576</v>
      </c>
      <c r="DN7" s="301">
        <f t="shared" ref="DN7:DN18" si="22">P7+Y7+AH7+AQ7+AZ7+BI7+BR7+CA7+CJ7+CS7+DB7+DK7</f>
        <v>24009.34820393729</v>
      </c>
      <c r="DO7" s="379"/>
      <c r="DP7" s="378"/>
      <c r="DQ7" s="378"/>
    </row>
    <row r="8" spans="1:121" s="295" customFormat="1">
      <c r="A8" s="311" t="s">
        <v>1707</v>
      </c>
      <c r="B8" s="312"/>
      <c r="C8" s="313"/>
      <c r="D8" s="314"/>
      <c r="E8" s="314"/>
      <c r="F8" s="314"/>
      <c r="G8" s="315"/>
      <c r="H8" s="316"/>
      <c r="I8" s="240">
        <f>F8</f>
        <v>0</v>
      </c>
      <c r="J8" s="324"/>
      <c r="K8" s="314"/>
      <c r="L8" s="321"/>
      <c r="M8" s="319">
        <f t="shared" si="7"/>
        <v>0</v>
      </c>
      <c r="N8" s="325"/>
      <c r="O8" s="297"/>
      <c r="P8" s="298"/>
      <c r="Q8" s="298"/>
      <c r="R8" s="319">
        <f t="shared" si="8"/>
        <v>0</v>
      </c>
      <c r="S8" s="314"/>
      <c r="T8" s="314"/>
      <c r="U8" s="321"/>
      <c r="V8" s="319">
        <f t="shared" si="9"/>
        <v>0</v>
      </c>
      <c r="W8" s="325"/>
      <c r="X8" s="297"/>
      <c r="Y8" s="298"/>
      <c r="Z8" s="299"/>
      <c r="AA8" s="319">
        <f t="shared" si="0"/>
        <v>0</v>
      </c>
      <c r="AB8" s="324"/>
      <c r="AC8" s="314"/>
      <c r="AD8" s="321"/>
      <c r="AE8" s="319">
        <f t="shared" si="10"/>
        <v>0</v>
      </c>
      <c r="AF8" s="325"/>
      <c r="AG8" s="297"/>
      <c r="AH8" s="298"/>
      <c r="AI8" s="300"/>
      <c r="AJ8" s="319">
        <f t="shared" si="1"/>
        <v>0</v>
      </c>
      <c r="AK8" s="314"/>
      <c r="AL8" s="314"/>
      <c r="AM8" s="321"/>
      <c r="AN8" s="319">
        <f t="shared" si="11"/>
        <v>0</v>
      </c>
      <c r="AO8" s="325"/>
      <c r="AP8" s="297"/>
      <c r="AQ8" s="298"/>
      <c r="AR8" s="300"/>
      <c r="AS8" s="319">
        <f t="shared" si="2"/>
        <v>0</v>
      </c>
      <c r="AT8" s="314"/>
      <c r="AU8" s="314"/>
      <c r="AV8" s="321"/>
      <c r="AW8" s="319">
        <f t="shared" si="12"/>
        <v>0</v>
      </c>
      <c r="AX8" s="325"/>
      <c r="AY8" s="297"/>
      <c r="AZ8" s="298"/>
      <c r="BA8" s="300"/>
      <c r="BB8" s="319">
        <f t="shared" si="3"/>
        <v>0</v>
      </c>
      <c r="BC8" s="324"/>
      <c r="BD8" s="314"/>
      <c r="BE8" s="321"/>
      <c r="BF8" s="319">
        <f t="shared" si="13"/>
        <v>0</v>
      </c>
      <c r="BG8" s="325"/>
      <c r="BH8" s="297"/>
      <c r="BI8" s="298"/>
      <c r="BJ8" s="300"/>
      <c r="BK8" s="319">
        <f t="shared" si="14"/>
        <v>0</v>
      </c>
      <c r="BL8" s="314"/>
      <c r="BM8" s="314"/>
      <c r="BN8" s="321"/>
      <c r="BO8" s="319">
        <f t="shared" si="15"/>
        <v>0</v>
      </c>
      <c r="BP8" s="325"/>
      <c r="BQ8" s="297"/>
      <c r="BR8" s="298"/>
      <c r="BS8" s="300"/>
      <c r="BT8" s="319">
        <f t="shared" si="4"/>
        <v>0</v>
      </c>
      <c r="BU8" s="314"/>
      <c r="BV8" s="314"/>
      <c r="BW8" s="321"/>
      <c r="BX8" s="319">
        <f t="shared" si="16"/>
        <v>0</v>
      </c>
      <c r="BY8" s="325"/>
      <c r="BZ8" s="297"/>
      <c r="CA8" s="298"/>
      <c r="CB8" s="300"/>
      <c r="CC8" s="319">
        <f t="shared" si="17"/>
        <v>0</v>
      </c>
      <c r="CD8" s="314"/>
      <c r="CE8" s="314"/>
      <c r="CF8" s="321"/>
      <c r="CG8" s="319">
        <f t="shared" si="18"/>
        <v>0</v>
      </c>
      <c r="CH8" s="325"/>
      <c r="CI8" s="297"/>
      <c r="CJ8" s="298"/>
      <c r="CK8" s="300"/>
      <c r="CL8" s="319">
        <f t="shared" ref="CL8:CL16" si="23">CC8</f>
        <v>0</v>
      </c>
      <c r="CM8" s="314"/>
      <c r="CN8" s="314"/>
      <c r="CO8" s="321"/>
      <c r="CP8" s="319">
        <f t="shared" si="19"/>
        <v>0</v>
      </c>
      <c r="CQ8" s="325"/>
      <c r="CR8" s="297"/>
      <c r="CS8" s="298"/>
      <c r="CT8" s="300"/>
      <c r="CU8" s="319">
        <f t="shared" si="5"/>
        <v>0</v>
      </c>
      <c r="CV8" s="314"/>
      <c r="CW8" s="314"/>
      <c r="CX8" s="321"/>
      <c r="CY8" s="319">
        <f t="shared" si="20"/>
        <v>0</v>
      </c>
      <c r="CZ8" s="325"/>
      <c r="DA8" s="297"/>
      <c r="DB8" s="298"/>
      <c r="DC8" s="300"/>
      <c r="DD8" s="319">
        <f t="shared" si="6"/>
        <v>0</v>
      </c>
      <c r="DE8" s="314"/>
      <c r="DF8" s="314"/>
      <c r="DG8" s="321"/>
      <c r="DH8" s="319">
        <f t="shared" si="21"/>
        <v>0</v>
      </c>
      <c r="DI8" s="325"/>
      <c r="DJ8" s="297"/>
      <c r="DK8" s="298"/>
      <c r="DL8" s="300"/>
      <c r="DM8" s="301"/>
      <c r="DN8" s="301">
        <f t="shared" si="22"/>
        <v>0</v>
      </c>
      <c r="DO8" s="379"/>
      <c r="DP8" s="378"/>
      <c r="DQ8" s="378"/>
    </row>
    <row r="9" spans="1:121" s="295" customFormat="1">
      <c r="A9" s="317" t="s">
        <v>1737</v>
      </c>
      <c r="B9" s="286">
        <f>7*11*24</f>
        <v>1848</v>
      </c>
      <c r="C9" s="318">
        <v>0.35</v>
      </c>
      <c r="D9" s="319">
        <v>7</v>
      </c>
      <c r="E9" s="319">
        <f>D9*24</f>
        <v>168</v>
      </c>
      <c r="F9" s="319"/>
      <c r="G9" s="221"/>
      <c r="H9" s="320">
        <v>9</v>
      </c>
      <c r="I9" s="240">
        <v>5005</v>
      </c>
      <c r="J9" s="321">
        <f>I9/161.7</f>
        <v>30.952380952380956</v>
      </c>
      <c r="K9" s="322">
        <v>38.5</v>
      </c>
      <c r="L9" s="321">
        <f>J9</f>
        <v>30.952380952380956</v>
      </c>
      <c r="M9" s="319">
        <f t="shared" si="7"/>
        <v>7</v>
      </c>
      <c r="N9" s="323">
        <f>M9*24*Q4</f>
        <v>336</v>
      </c>
      <c r="O9" s="297">
        <f>L9</f>
        <v>30.952380952380956</v>
      </c>
      <c r="P9" s="298">
        <f>N9*O9</f>
        <v>10400.000000000002</v>
      </c>
      <c r="Q9" s="298"/>
      <c r="R9" s="319">
        <f t="shared" si="8"/>
        <v>5005</v>
      </c>
      <c r="S9" s="322">
        <f>R9/161.7</f>
        <v>30.952380952380956</v>
      </c>
      <c r="T9" s="322">
        <v>38.5</v>
      </c>
      <c r="U9" s="321">
        <f>S9*C9</f>
        <v>10.833333333333334</v>
      </c>
      <c r="V9" s="319">
        <f t="shared" si="9"/>
        <v>7</v>
      </c>
      <c r="W9" s="323">
        <f>V9*8*Z4</f>
        <v>0</v>
      </c>
      <c r="X9" s="297">
        <f>U9</f>
        <v>10.833333333333334</v>
      </c>
      <c r="Y9" s="298">
        <f>W9*X9</f>
        <v>0</v>
      </c>
      <c r="Z9" s="299"/>
      <c r="AA9" s="319">
        <f t="shared" si="0"/>
        <v>5005</v>
      </c>
      <c r="AB9" s="321">
        <f>AA9/154</f>
        <v>32.5</v>
      </c>
      <c r="AC9" s="322">
        <v>38.5</v>
      </c>
      <c r="AD9" s="321">
        <f>AB9</f>
        <v>32.5</v>
      </c>
      <c r="AE9" s="319">
        <f t="shared" si="10"/>
        <v>7</v>
      </c>
      <c r="AF9" s="323">
        <f>AE9*24*AI4</f>
        <v>168</v>
      </c>
      <c r="AG9" s="297">
        <f>AD9</f>
        <v>32.5</v>
      </c>
      <c r="AH9" s="298">
        <f>AF9*AG9</f>
        <v>5460</v>
      </c>
      <c r="AI9" s="300"/>
      <c r="AJ9" s="319">
        <f t="shared" si="1"/>
        <v>5005</v>
      </c>
      <c r="AK9" s="322">
        <f>AJ9/161.7</f>
        <v>30.952380952380956</v>
      </c>
      <c r="AL9" s="322">
        <v>38.5</v>
      </c>
      <c r="AM9" s="321">
        <f>AK9</f>
        <v>30.952380952380956</v>
      </c>
      <c r="AN9" s="319">
        <f t="shared" si="11"/>
        <v>7</v>
      </c>
      <c r="AO9" s="323">
        <f>AN9*24*AR4</f>
        <v>168</v>
      </c>
      <c r="AP9" s="297">
        <f>AM9</f>
        <v>30.952380952380956</v>
      </c>
      <c r="AQ9" s="298">
        <f>AO9*AP9</f>
        <v>5200.0000000000009</v>
      </c>
      <c r="AR9" s="300"/>
      <c r="AS9" s="319">
        <f t="shared" si="2"/>
        <v>5005</v>
      </c>
      <c r="AT9" s="322">
        <f>AS9/146.3</f>
        <v>34.210526315789473</v>
      </c>
      <c r="AU9" s="322">
        <v>38.5</v>
      </c>
      <c r="AV9" s="321">
        <f>AT9</f>
        <v>34.210526315789473</v>
      </c>
      <c r="AW9" s="319">
        <f t="shared" si="12"/>
        <v>7</v>
      </c>
      <c r="AX9" s="323">
        <f>AW9*24*BA4</f>
        <v>336</v>
      </c>
      <c r="AY9" s="297">
        <f>AV9</f>
        <v>34.210526315789473</v>
      </c>
      <c r="AZ9" s="298">
        <f>AX9*AY9</f>
        <v>11494.736842105263</v>
      </c>
      <c r="BA9" s="300"/>
      <c r="BB9" s="319">
        <f t="shared" si="3"/>
        <v>5005</v>
      </c>
      <c r="BC9" s="321">
        <f>BB9/146.3</f>
        <v>34.210526315789473</v>
      </c>
      <c r="BD9" s="322">
        <v>38.5</v>
      </c>
      <c r="BE9" s="321">
        <f>BC9</f>
        <v>34.210526315789473</v>
      </c>
      <c r="BF9" s="319">
        <f t="shared" si="13"/>
        <v>7</v>
      </c>
      <c r="BG9" s="323">
        <f>BF9*24*BJ4</f>
        <v>336</v>
      </c>
      <c r="BH9" s="297">
        <f>BE9</f>
        <v>34.210526315789473</v>
      </c>
      <c r="BI9" s="298">
        <f>BG9*BH9</f>
        <v>11494.736842105263</v>
      </c>
      <c r="BJ9" s="300"/>
      <c r="BK9" s="319">
        <f t="shared" si="14"/>
        <v>5005</v>
      </c>
      <c r="BL9" s="322">
        <f>BK9/177.1</f>
        <v>28.260869565217391</v>
      </c>
      <c r="BM9" s="322">
        <v>38.5</v>
      </c>
      <c r="BN9" s="321">
        <f>BL9</f>
        <v>28.260869565217391</v>
      </c>
      <c r="BO9" s="319">
        <f t="shared" si="15"/>
        <v>7</v>
      </c>
      <c r="BP9" s="323">
        <f>BO9*24*BS4</f>
        <v>168</v>
      </c>
      <c r="BQ9" s="297">
        <f>BN9</f>
        <v>28.260869565217391</v>
      </c>
      <c r="BR9" s="298">
        <f>BP9*BQ9</f>
        <v>4747.826086956522</v>
      </c>
      <c r="BS9" s="300"/>
      <c r="BT9" s="319">
        <f t="shared" si="4"/>
        <v>5005</v>
      </c>
      <c r="BU9" s="322">
        <f>BT9/154</f>
        <v>32.5</v>
      </c>
      <c r="BV9" s="322">
        <v>38.5</v>
      </c>
      <c r="BW9" s="321">
        <f>BU9</f>
        <v>32.5</v>
      </c>
      <c r="BX9" s="319">
        <f t="shared" si="16"/>
        <v>7</v>
      </c>
      <c r="BY9" s="323">
        <f>BX9*24*CB4</f>
        <v>168</v>
      </c>
      <c r="BZ9" s="297">
        <f>BW9</f>
        <v>32.5</v>
      </c>
      <c r="CA9" s="298">
        <f>BY9*BZ9</f>
        <v>5460</v>
      </c>
      <c r="CB9" s="300"/>
      <c r="CC9" s="319">
        <f t="shared" si="17"/>
        <v>5005</v>
      </c>
      <c r="CD9" s="322">
        <f>CC9/169.4</f>
        <v>29.545454545454543</v>
      </c>
      <c r="CE9" s="322">
        <v>38.5</v>
      </c>
      <c r="CF9" s="321">
        <f>CD9</f>
        <v>29.545454545454543</v>
      </c>
      <c r="CG9" s="319">
        <f t="shared" si="18"/>
        <v>7</v>
      </c>
      <c r="CH9" s="323">
        <f>CG9*24*CK4</f>
        <v>0</v>
      </c>
      <c r="CI9" s="297">
        <f>CF9</f>
        <v>29.545454545454543</v>
      </c>
      <c r="CJ9" s="298">
        <f>CH9*CI9</f>
        <v>0</v>
      </c>
      <c r="CK9" s="300"/>
      <c r="CL9" s="319">
        <v>5159</v>
      </c>
      <c r="CM9" s="322">
        <f>CL9/177.1</f>
        <v>29.130434782608695</v>
      </c>
      <c r="CN9" s="322">
        <v>38.5</v>
      </c>
      <c r="CO9" s="321">
        <f>CM9</f>
        <v>29.130434782608695</v>
      </c>
      <c r="CP9" s="319">
        <f t="shared" si="19"/>
        <v>7</v>
      </c>
      <c r="CQ9" s="323">
        <f>CP9*24*CT4</f>
        <v>168</v>
      </c>
      <c r="CR9" s="297">
        <f>CO9</f>
        <v>29.130434782608695</v>
      </c>
      <c r="CS9" s="298">
        <f>CQ9*CR9</f>
        <v>4893.913043478261</v>
      </c>
      <c r="CT9" s="300"/>
      <c r="CU9" s="319">
        <f t="shared" si="5"/>
        <v>5159</v>
      </c>
      <c r="CV9" s="322">
        <f>CU9/154</f>
        <v>33.5</v>
      </c>
      <c r="CW9" s="322">
        <v>38.5</v>
      </c>
      <c r="CX9" s="321">
        <f>CV9</f>
        <v>33.5</v>
      </c>
      <c r="CY9" s="319">
        <f t="shared" si="20"/>
        <v>7</v>
      </c>
      <c r="CZ9" s="323">
        <f>CY9*24*DC4</f>
        <v>0</v>
      </c>
      <c r="DA9" s="297">
        <f>CX9</f>
        <v>33.5</v>
      </c>
      <c r="DB9" s="298">
        <f>CZ9*DA9</f>
        <v>0</v>
      </c>
      <c r="DC9" s="300"/>
      <c r="DD9" s="319">
        <f t="shared" si="6"/>
        <v>5159</v>
      </c>
      <c r="DE9" s="322">
        <f>DD9/177.1</f>
        <v>29.130434782608695</v>
      </c>
      <c r="DF9" s="322">
        <v>38.5</v>
      </c>
      <c r="DG9" s="321">
        <f>DE9</f>
        <v>29.130434782608695</v>
      </c>
      <c r="DH9" s="319">
        <f t="shared" si="21"/>
        <v>7</v>
      </c>
      <c r="DI9" s="323">
        <f>DH9*24*DL4</f>
        <v>168</v>
      </c>
      <c r="DJ9" s="297">
        <f>DG9</f>
        <v>29.130434782608695</v>
      </c>
      <c r="DK9" s="298">
        <f>DI9*DJ9</f>
        <v>4893.913043478261</v>
      </c>
      <c r="DL9" s="300"/>
      <c r="DM9" s="301">
        <f>N9+W9+AF9+AO9+AX9+BG9+BP9+BY9+CH9+CQ9+CZ9+DI9</f>
        <v>2016</v>
      </c>
      <c r="DN9" s="301">
        <f t="shared" si="22"/>
        <v>64045.125858123582</v>
      </c>
      <c r="DO9" s="379"/>
      <c r="DP9" s="378"/>
      <c r="DQ9" s="378"/>
    </row>
    <row r="10" spans="1:121" s="295" customFormat="1">
      <c r="A10" s="317" t="s">
        <v>1738</v>
      </c>
      <c r="B10" s="286">
        <f>5*11*24</f>
        <v>1320</v>
      </c>
      <c r="C10" s="318">
        <v>0.5</v>
      </c>
      <c r="D10" s="319">
        <v>5</v>
      </c>
      <c r="E10" s="319">
        <f>D10*24</f>
        <v>120</v>
      </c>
      <c r="F10" s="319"/>
      <c r="G10" s="221"/>
      <c r="H10" s="320">
        <v>10</v>
      </c>
      <c r="I10" s="240">
        <v>5265</v>
      </c>
      <c r="J10" s="321">
        <f>I10/161.7</f>
        <v>32.560296846011134</v>
      </c>
      <c r="K10" s="322">
        <v>38.5</v>
      </c>
      <c r="L10" s="321">
        <f>J10</f>
        <v>32.560296846011134</v>
      </c>
      <c r="M10" s="319">
        <f t="shared" si="7"/>
        <v>5</v>
      </c>
      <c r="N10" s="323">
        <f>M10*24*Q4</f>
        <v>240</v>
      </c>
      <c r="O10" s="297">
        <f>L10</f>
        <v>32.560296846011134</v>
      </c>
      <c r="P10" s="298">
        <f>N10*O10</f>
        <v>7814.4712430426725</v>
      </c>
      <c r="Q10" s="298"/>
      <c r="R10" s="319">
        <f t="shared" si="8"/>
        <v>5265</v>
      </c>
      <c r="S10" s="322">
        <f>R10/161.7</f>
        <v>32.560296846011134</v>
      </c>
      <c r="T10" s="322">
        <v>38.5</v>
      </c>
      <c r="U10" s="321">
        <f>S10*C10</f>
        <v>16.280148423005567</v>
      </c>
      <c r="V10" s="319">
        <f t="shared" si="9"/>
        <v>5</v>
      </c>
      <c r="W10" s="323">
        <f>V10*8*Z4</f>
        <v>0</v>
      </c>
      <c r="X10" s="297">
        <f>U10</f>
        <v>16.280148423005567</v>
      </c>
      <c r="Y10" s="298">
        <f>W10*X10</f>
        <v>0</v>
      </c>
      <c r="Z10" s="299"/>
      <c r="AA10" s="319">
        <f t="shared" si="0"/>
        <v>5265</v>
      </c>
      <c r="AB10" s="321">
        <f>AA10/154</f>
        <v>34.188311688311686</v>
      </c>
      <c r="AC10" s="322">
        <v>38.5</v>
      </c>
      <c r="AD10" s="321">
        <f>AB10</f>
        <v>34.188311688311686</v>
      </c>
      <c r="AE10" s="319">
        <f t="shared" si="10"/>
        <v>5</v>
      </c>
      <c r="AF10" s="323">
        <f>AE10*24*AI4</f>
        <v>120</v>
      </c>
      <c r="AG10" s="297">
        <f>AD10</f>
        <v>34.188311688311686</v>
      </c>
      <c r="AH10" s="298">
        <f>AF10*AG10</f>
        <v>4102.5974025974019</v>
      </c>
      <c r="AI10" s="300"/>
      <c r="AJ10" s="319">
        <f t="shared" si="1"/>
        <v>5265</v>
      </c>
      <c r="AK10" s="322">
        <f>AJ10/161.7</f>
        <v>32.560296846011134</v>
      </c>
      <c r="AL10" s="322">
        <v>38.5</v>
      </c>
      <c r="AM10" s="321">
        <f>AK10</f>
        <v>32.560296846011134</v>
      </c>
      <c r="AN10" s="319">
        <f t="shared" si="11"/>
        <v>5</v>
      </c>
      <c r="AO10" s="323">
        <f>AN10*24*AR4</f>
        <v>120</v>
      </c>
      <c r="AP10" s="297">
        <f>AM10</f>
        <v>32.560296846011134</v>
      </c>
      <c r="AQ10" s="298">
        <f>AO10*AP10</f>
        <v>3907.2356215213363</v>
      </c>
      <c r="AR10" s="300"/>
      <c r="AS10" s="319">
        <f t="shared" si="2"/>
        <v>5265</v>
      </c>
      <c r="AT10" s="322">
        <f>AS10/146.3</f>
        <v>35.987696514012299</v>
      </c>
      <c r="AU10" s="322">
        <v>38.5</v>
      </c>
      <c r="AV10" s="321">
        <f>AT10</f>
        <v>35.987696514012299</v>
      </c>
      <c r="AW10" s="319">
        <f t="shared" si="12"/>
        <v>5</v>
      </c>
      <c r="AX10" s="323">
        <f>AW10*24*BA4</f>
        <v>240</v>
      </c>
      <c r="AY10" s="297">
        <f>AV10</f>
        <v>35.987696514012299</v>
      </c>
      <c r="AZ10" s="298">
        <f>AX10*AY10</f>
        <v>8637.0471633629513</v>
      </c>
      <c r="BA10" s="300"/>
      <c r="BB10" s="319">
        <f t="shared" si="3"/>
        <v>5265</v>
      </c>
      <c r="BC10" s="321">
        <f>BB10/146.3</f>
        <v>35.987696514012299</v>
      </c>
      <c r="BD10" s="322">
        <v>38.5</v>
      </c>
      <c r="BE10" s="321">
        <f>BC10</f>
        <v>35.987696514012299</v>
      </c>
      <c r="BF10" s="319">
        <f t="shared" si="13"/>
        <v>5</v>
      </c>
      <c r="BG10" s="323">
        <f>BF10*24*BJ4</f>
        <v>240</v>
      </c>
      <c r="BH10" s="297">
        <f>BE10</f>
        <v>35.987696514012299</v>
      </c>
      <c r="BI10" s="298">
        <f>BG10*BH10</f>
        <v>8637.0471633629513</v>
      </c>
      <c r="BJ10" s="300"/>
      <c r="BK10" s="319">
        <f t="shared" si="14"/>
        <v>5265</v>
      </c>
      <c r="BL10" s="322">
        <f>BK10/177.1</f>
        <v>29.728966685488427</v>
      </c>
      <c r="BM10" s="322">
        <v>38.5</v>
      </c>
      <c r="BN10" s="321">
        <f>BL10</f>
        <v>29.728966685488427</v>
      </c>
      <c r="BO10" s="319">
        <f t="shared" si="15"/>
        <v>5</v>
      </c>
      <c r="BP10" s="323">
        <f>BO10*24*BS4</f>
        <v>120</v>
      </c>
      <c r="BQ10" s="297">
        <f>BN10</f>
        <v>29.728966685488427</v>
      </c>
      <c r="BR10" s="298">
        <f>BP10*BQ10</f>
        <v>3567.4760022586111</v>
      </c>
      <c r="BS10" s="300"/>
      <c r="BT10" s="319">
        <f t="shared" si="4"/>
        <v>5265</v>
      </c>
      <c r="BU10" s="322">
        <f>BT10/154</f>
        <v>34.188311688311686</v>
      </c>
      <c r="BV10" s="322">
        <v>38.5</v>
      </c>
      <c r="BW10" s="321">
        <f>BU10</f>
        <v>34.188311688311686</v>
      </c>
      <c r="BX10" s="319">
        <f t="shared" si="16"/>
        <v>5</v>
      </c>
      <c r="BY10" s="323">
        <f>BX10*24*CB4</f>
        <v>120</v>
      </c>
      <c r="BZ10" s="297">
        <f>BW10</f>
        <v>34.188311688311686</v>
      </c>
      <c r="CA10" s="298">
        <f>BY10*BZ10</f>
        <v>4102.5974025974019</v>
      </c>
      <c r="CB10" s="300"/>
      <c r="CC10" s="319">
        <f t="shared" si="17"/>
        <v>5265</v>
      </c>
      <c r="CD10" s="322">
        <f>CC10/169.4</f>
        <v>31.080283353010625</v>
      </c>
      <c r="CE10" s="322">
        <v>38.5</v>
      </c>
      <c r="CF10" s="321">
        <f>CD10</f>
        <v>31.080283353010625</v>
      </c>
      <c r="CG10" s="319">
        <f t="shared" si="18"/>
        <v>5</v>
      </c>
      <c r="CH10" s="323">
        <f>CG10*24*CK4</f>
        <v>0</v>
      </c>
      <c r="CI10" s="297">
        <f>CF10</f>
        <v>31.080283353010625</v>
      </c>
      <c r="CJ10" s="298">
        <f>CH10*CI10</f>
        <v>0</v>
      </c>
      <c r="CK10" s="300"/>
      <c r="CL10" s="319">
        <v>5427</v>
      </c>
      <c r="CM10" s="322">
        <f>CL10/177.1</f>
        <v>30.643704121964994</v>
      </c>
      <c r="CN10" s="322">
        <v>38.5</v>
      </c>
      <c r="CO10" s="321">
        <f>CM10</f>
        <v>30.643704121964994</v>
      </c>
      <c r="CP10" s="319">
        <f t="shared" si="19"/>
        <v>5</v>
      </c>
      <c r="CQ10" s="323">
        <f>CP10*24*CT4</f>
        <v>120</v>
      </c>
      <c r="CR10" s="297">
        <f>CO10</f>
        <v>30.643704121964994</v>
      </c>
      <c r="CS10" s="298">
        <f>CQ10*CR10</f>
        <v>3677.2444946357991</v>
      </c>
      <c r="CT10" s="300"/>
      <c r="CU10" s="319">
        <f t="shared" si="5"/>
        <v>5427</v>
      </c>
      <c r="CV10" s="322">
        <f>CU10/154</f>
        <v>35.240259740259738</v>
      </c>
      <c r="CW10" s="322">
        <v>38.5</v>
      </c>
      <c r="CX10" s="321">
        <f>CV10</f>
        <v>35.240259740259738</v>
      </c>
      <c r="CY10" s="319">
        <f t="shared" si="20"/>
        <v>5</v>
      </c>
      <c r="CZ10" s="323">
        <f>CY10*24*DC4</f>
        <v>0</v>
      </c>
      <c r="DA10" s="297">
        <f>CX10</f>
        <v>35.240259740259738</v>
      </c>
      <c r="DB10" s="298">
        <f>CZ10*DA10</f>
        <v>0</v>
      </c>
      <c r="DC10" s="300"/>
      <c r="DD10" s="319">
        <f t="shared" si="6"/>
        <v>5427</v>
      </c>
      <c r="DE10" s="322">
        <f>DD10/177.1</f>
        <v>30.643704121964994</v>
      </c>
      <c r="DF10" s="322">
        <v>38.5</v>
      </c>
      <c r="DG10" s="321">
        <f>DE10</f>
        <v>30.643704121964994</v>
      </c>
      <c r="DH10" s="319">
        <f t="shared" si="21"/>
        <v>5</v>
      </c>
      <c r="DI10" s="323">
        <f>DH10*24*DL4</f>
        <v>120</v>
      </c>
      <c r="DJ10" s="297">
        <f>DG10</f>
        <v>30.643704121964994</v>
      </c>
      <c r="DK10" s="298">
        <f>DI10*DJ10</f>
        <v>3677.2444946357991</v>
      </c>
      <c r="DL10" s="300"/>
      <c r="DM10" s="301">
        <f>N10+W10+AF10+AO10+AX10+BG10+BP10+BY10+CH10+CQ10+CZ10+DI10</f>
        <v>1440</v>
      </c>
      <c r="DN10" s="301">
        <f t="shared" si="22"/>
        <v>48122.960988014929</v>
      </c>
      <c r="DO10" s="379"/>
      <c r="DP10" s="378"/>
      <c r="DQ10" s="378"/>
    </row>
    <row r="11" spans="1:121" s="295" customFormat="1">
      <c r="A11" s="311" t="s">
        <v>1708</v>
      </c>
      <c r="B11" s="312"/>
      <c r="C11" s="313"/>
      <c r="D11" s="314"/>
      <c r="E11" s="314"/>
      <c r="F11" s="314"/>
      <c r="G11" s="315"/>
      <c r="H11" s="316"/>
      <c r="I11" s="240">
        <f>F11</f>
        <v>0</v>
      </c>
      <c r="J11" s="324"/>
      <c r="K11" s="314"/>
      <c r="L11" s="321"/>
      <c r="M11" s="319">
        <f t="shared" si="7"/>
        <v>0</v>
      </c>
      <c r="N11" s="325"/>
      <c r="O11" s="297"/>
      <c r="P11" s="298"/>
      <c r="Q11" s="298"/>
      <c r="R11" s="319">
        <f t="shared" si="8"/>
        <v>0</v>
      </c>
      <c r="S11" s="314"/>
      <c r="T11" s="314"/>
      <c r="U11" s="321"/>
      <c r="V11" s="319">
        <f t="shared" si="9"/>
        <v>0</v>
      </c>
      <c r="W11" s="325"/>
      <c r="X11" s="297"/>
      <c r="Y11" s="298"/>
      <c r="Z11" s="299"/>
      <c r="AA11" s="319">
        <f t="shared" si="0"/>
        <v>0</v>
      </c>
      <c r="AB11" s="324"/>
      <c r="AC11" s="314"/>
      <c r="AD11" s="321"/>
      <c r="AE11" s="319">
        <f t="shared" si="10"/>
        <v>0</v>
      </c>
      <c r="AF11" s="325"/>
      <c r="AG11" s="297"/>
      <c r="AH11" s="298"/>
      <c r="AI11" s="300"/>
      <c r="AJ11" s="319">
        <f t="shared" si="1"/>
        <v>0</v>
      </c>
      <c r="AK11" s="314"/>
      <c r="AL11" s="314"/>
      <c r="AM11" s="321"/>
      <c r="AN11" s="319">
        <f t="shared" si="11"/>
        <v>0</v>
      </c>
      <c r="AO11" s="325"/>
      <c r="AP11" s="297"/>
      <c r="AQ11" s="298"/>
      <c r="AR11" s="300"/>
      <c r="AS11" s="319">
        <f t="shared" si="2"/>
        <v>0</v>
      </c>
      <c r="AT11" s="314"/>
      <c r="AU11" s="314"/>
      <c r="AV11" s="321"/>
      <c r="AW11" s="319">
        <f t="shared" si="12"/>
        <v>0</v>
      </c>
      <c r="AX11" s="325"/>
      <c r="AY11" s="297"/>
      <c r="AZ11" s="298"/>
      <c r="BA11" s="300"/>
      <c r="BB11" s="319">
        <f t="shared" si="3"/>
        <v>0</v>
      </c>
      <c r="BC11" s="324"/>
      <c r="BD11" s="314"/>
      <c r="BE11" s="321"/>
      <c r="BF11" s="319">
        <f t="shared" si="13"/>
        <v>0</v>
      </c>
      <c r="BG11" s="325"/>
      <c r="BH11" s="297"/>
      <c r="BI11" s="298"/>
      <c r="BJ11" s="300"/>
      <c r="BK11" s="319">
        <f t="shared" si="14"/>
        <v>0</v>
      </c>
      <c r="BL11" s="314"/>
      <c r="BM11" s="314"/>
      <c r="BN11" s="321"/>
      <c r="BO11" s="319">
        <f t="shared" si="15"/>
        <v>0</v>
      </c>
      <c r="BP11" s="325"/>
      <c r="BQ11" s="297"/>
      <c r="BR11" s="298"/>
      <c r="BS11" s="300"/>
      <c r="BT11" s="319">
        <f t="shared" si="4"/>
        <v>0</v>
      </c>
      <c r="BU11" s="314"/>
      <c r="BV11" s="314"/>
      <c r="BW11" s="321"/>
      <c r="BX11" s="319">
        <f t="shared" si="16"/>
        <v>0</v>
      </c>
      <c r="BY11" s="325"/>
      <c r="BZ11" s="297"/>
      <c r="CA11" s="298"/>
      <c r="CB11" s="300"/>
      <c r="CC11" s="319">
        <f t="shared" si="17"/>
        <v>0</v>
      </c>
      <c r="CD11" s="314"/>
      <c r="CE11" s="314"/>
      <c r="CF11" s="321"/>
      <c r="CG11" s="319">
        <f t="shared" si="18"/>
        <v>0</v>
      </c>
      <c r="CH11" s="325"/>
      <c r="CI11" s="297"/>
      <c r="CJ11" s="298"/>
      <c r="CK11" s="300"/>
      <c r="CL11" s="319">
        <f t="shared" si="23"/>
        <v>0</v>
      </c>
      <c r="CM11" s="314"/>
      <c r="CN11" s="314"/>
      <c r="CO11" s="321"/>
      <c r="CP11" s="319">
        <f t="shared" si="19"/>
        <v>0</v>
      </c>
      <c r="CQ11" s="325"/>
      <c r="CR11" s="297"/>
      <c r="CS11" s="298"/>
      <c r="CT11" s="300"/>
      <c r="CU11" s="319">
        <f t="shared" si="5"/>
        <v>0</v>
      </c>
      <c r="CV11" s="314"/>
      <c r="CW11" s="314"/>
      <c r="CX11" s="321"/>
      <c r="CY11" s="319">
        <f t="shared" si="20"/>
        <v>0</v>
      </c>
      <c r="CZ11" s="325"/>
      <c r="DA11" s="297"/>
      <c r="DB11" s="298"/>
      <c r="DC11" s="300"/>
      <c r="DD11" s="319">
        <f t="shared" si="6"/>
        <v>0</v>
      </c>
      <c r="DE11" s="314"/>
      <c r="DF11" s="314"/>
      <c r="DG11" s="321"/>
      <c r="DH11" s="319">
        <f t="shared" si="21"/>
        <v>0</v>
      </c>
      <c r="DI11" s="325"/>
      <c r="DJ11" s="297"/>
      <c r="DK11" s="298"/>
      <c r="DL11" s="300"/>
      <c r="DM11" s="301"/>
      <c r="DN11" s="301">
        <f t="shared" si="22"/>
        <v>0</v>
      </c>
      <c r="DO11" s="379"/>
      <c r="DP11" s="378"/>
      <c r="DQ11" s="378"/>
    </row>
    <row r="12" spans="1:121" s="295" customFormat="1">
      <c r="A12" s="317" t="s">
        <v>1737</v>
      </c>
      <c r="B12" s="286">
        <f>7*11*24</f>
        <v>1848</v>
      </c>
      <c r="C12" s="318">
        <v>0.35</v>
      </c>
      <c r="D12" s="319">
        <v>7</v>
      </c>
      <c r="E12" s="319">
        <f>D12*24</f>
        <v>168</v>
      </c>
      <c r="F12" s="319"/>
      <c r="G12" s="221"/>
      <c r="H12" s="320">
        <v>3</v>
      </c>
      <c r="I12" s="240">
        <v>3414</v>
      </c>
      <c r="J12" s="321">
        <f>I12/168</f>
        <v>20.321428571428573</v>
      </c>
      <c r="K12" s="322">
        <v>40</v>
      </c>
      <c r="L12" s="321">
        <f>J12</f>
        <v>20.321428571428573</v>
      </c>
      <c r="M12" s="319">
        <f t="shared" si="7"/>
        <v>7</v>
      </c>
      <c r="N12" s="323">
        <f>M12*24*Q4</f>
        <v>336</v>
      </c>
      <c r="O12" s="297">
        <f>L12</f>
        <v>20.321428571428573</v>
      </c>
      <c r="P12" s="298">
        <f>N12*O12</f>
        <v>6828.0000000000009</v>
      </c>
      <c r="Q12" s="298"/>
      <c r="R12" s="319">
        <f t="shared" si="8"/>
        <v>3414</v>
      </c>
      <c r="S12" s="322">
        <f>R12/168</f>
        <v>20.321428571428573</v>
      </c>
      <c r="T12" s="322">
        <v>40</v>
      </c>
      <c r="U12" s="321">
        <f>S12*C12</f>
        <v>7.1124999999999998</v>
      </c>
      <c r="V12" s="319">
        <f t="shared" si="9"/>
        <v>7</v>
      </c>
      <c r="W12" s="323">
        <f>V12*8*Z4</f>
        <v>0</v>
      </c>
      <c r="X12" s="297">
        <f>U12</f>
        <v>7.1124999999999998</v>
      </c>
      <c r="Y12" s="298">
        <f>W12*X12</f>
        <v>0</v>
      </c>
      <c r="Z12" s="299"/>
      <c r="AA12" s="319">
        <f t="shared" si="0"/>
        <v>3414</v>
      </c>
      <c r="AB12" s="321">
        <f>AA12/159</f>
        <v>21.471698113207548</v>
      </c>
      <c r="AC12" s="322">
        <v>40</v>
      </c>
      <c r="AD12" s="321">
        <f>AB12</f>
        <v>21.471698113207548</v>
      </c>
      <c r="AE12" s="319">
        <f t="shared" si="10"/>
        <v>7</v>
      </c>
      <c r="AF12" s="323">
        <f>AE12*24*AI4</f>
        <v>168</v>
      </c>
      <c r="AG12" s="297">
        <f>AD12</f>
        <v>21.471698113207548</v>
      </c>
      <c r="AH12" s="298">
        <f>AF12*AG12</f>
        <v>3607.2452830188681</v>
      </c>
      <c r="AI12" s="300"/>
      <c r="AJ12" s="319">
        <f t="shared" si="1"/>
        <v>3414</v>
      </c>
      <c r="AK12" s="322">
        <f>AJ12/167</f>
        <v>20.443113772455089</v>
      </c>
      <c r="AL12" s="322">
        <v>40</v>
      </c>
      <c r="AM12" s="321">
        <f>AK12</f>
        <v>20.443113772455089</v>
      </c>
      <c r="AN12" s="319">
        <f t="shared" si="11"/>
        <v>7</v>
      </c>
      <c r="AO12" s="323">
        <f>AN12*24*AR4</f>
        <v>168</v>
      </c>
      <c r="AP12" s="297">
        <f>AM12</f>
        <v>20.443113772455089</v>
      </c>
      <c r="AQ12" s="298">
        <f>AO12*AP12</f>
        <v>3434.443113772455</v>
      </c>
      <c r="AR12" s="300"/>
      <c r="AS12" s="319">
        <f t="shared" si="2"/>
        <v>3414</v>
      </c>
      <c r="AT12" s="322">
        <f>AS12/151</f>
        <v>22.609271523178808</v>
      </c>
      <c r="AU12" s="322">
        <v>40</v>
      </c>
      <c r="AV12" s="321">
        <f>AT12</f>
        <v>22.609271523178808</v>
      </c>
      <c r="AW12" s="319">
        <f t="shared" si="12"/>
        <v>7</v>
      </c>
      <c r="AX12" s="323">
        <f>AW12*24*BA4</f>
        <v>336</v>
      </c>
      <c r="AY12" s="297">
        <f>AV12</f>
        <v>22.609271523178808</v>
      </c>
      <c r="AZ12" s="298">
        <f>AX12*AY12</f>
        <v>7596.71523178808</v>
      </c>
      <c r="BA12" s="300"/>
      <c r="BB12" s="319">
        <f t="shared" si="3"/>
        <v>3414</v>
      </c>
      <c r="BC12" s="321">
        <f>BB12/151</f>
        <v>22.609271523178808</v>
      </c>
      <c r="BD12" s="322">
        <v>40</v>
      </c>
      <c r="BE12" s="321">
        <f>BC12</f>
        <v>22.609271523178808</v>
      </c>
      <c r="BF12" s="319">
        <f t="shared" si="13"/>
        <v>7</v>
      </c>
      <c r="BG12" s="323">
        <f>BF12*24*BJ4</f>
        <v>336</v>
      </c>
      <c r="BH12" s="297">
        <f>BE12</f>
        <v>22.609271523178808</v>
      </c>
      <c r="BI12" s="298">
        <f>BG12*BH12</f>
        <v>7596.71523178808</v>
      </c>
      <c r="BJ12" s="300"/>
      <c r="BK12" s="319">
        <f t="shared" si="14"/>
        <v>3414</v>
      </c>
      <c r="BL12" s="322">
        <f>BK12/184</f>
        <v>18.554347826086957</v>
      </c>
      <c r="BM12" s="322">
        <v>40</v>
      </c>
      <c r="BN12" s="321">
        <f>BL12</f>
        <v>18.554347826086957</v>
      </c>
      <c r="BO12" s="319">
        <f t="shared" si="15"/>
        <v>7</v>
      </c>
      <c r="BP12" s="323">
        <f>BO12*24*BS4</f>
        <v>168</v>
      </c>
      <c r="BQ12" s="297">
        <f>BN12</f>
        <v>18.554347826086957</v>
      </c>
      <c r="BR12" s="298">
        <f>BP12*BQ12</f>
        <v>3117.130434782609</v>
      </c>
      <c r="BS12" s="300"/>
      <c r="BT12" s="319">
        <f t="shared" si="4"/>
        <v>3414</v>
      </c>
      <c r="BU12" s="322">
        <f>BT12/160</f>
        <v>21.337499999999999</v>
      </c>
      <c r="BV12" s="322">
        <v>40</v>
      </c>
      <c r="BW12" s="321">
        <f>BU12</f>
        <v>21.337499999999999</v>
      </c>
      <c r="BX12" s="319">
        <f t="shared" si="16"/>
        <v>7</v>
      </c>
      <c r="BY12" s="323">
        <f>BX12*24*CB4</f>
        <v>168</v>
      </c>
      <c r="BZ12" s="297">
        <f>BW12</f>
        <v>21.337499999999999</v>
      </c>
      <c r="CA12" s="298">
        <f>BY12*BZ12</f>
        <v>3584.7</v>
      </c>
      <c r="CB12" s="300"/>
      <c r="CC12" s="319">
        <f t="shared" si="17"/>
        <v>3414</v>
      </c>
      <c r="CD12" s="322">
        <f>CC12/176</f>
        <v>19.397727272727273</v>
      </c>
      <c r="CE12" s="322">
        <v>40</v>
      </c>
      <c r="CF12" s="321">
        <f>CD12</f>
        <v>19.397727272727273</v>
      </c>
      <c r="CG12" s="319">
        <f t="shared" si="18"/>
        <v>7</v>
      </c>
      <c r="CH12" s="323">
        <f>CG12*24*CK4</f>
        <v>0</v>
      </c>
      <c r="CI12" s="297">
        <f>CF12</f>
        <v>19.397727272727273</v>
      </c>
      <c r="CJ12" s="298">
        <f>CH12*CI12</f>
        <v>0</v>
      </c>
      <c r="CK12" s="300"/>
      <c r="CL12" s="319">
        <v>3519</v>
      </c>
      <c r="CM12" s="322">
        <f>CL12/184</f>
        <v>19.125</v>
      </c>
      <c r="CN12" s="322">
        <v>40</v>
      </c>
      <c r="CO12" s="321">
        <f>CM12</f>
        <v>19.125</v>
      </c>
      <c r="CP12" s="319">
        <f t="shared" si="19"/>
        <v>7</v>
      </c>
      <c r="CQ12" s="323">
        <f>CP12*24*CT4</f>
        <v>168</v>
      </c>
      <c r="CR12" s="297">
        <f>CO12</f>
        <v>19.125</v>
      </c>
      <c r="CS12" s="298">
        <f>CQ12*CR12</f>
        <v>3213</v>
      </c>
      <c r="CT12" s="300"/>
      <c r="CU12" s="319">
        <f t="shared" si="5"/>
        <v>3519</v>
      </c>
      <c r="CV12" s="322">
        <f>CU12/160</f>
        <v>21.993749999999999</v>
      </c>
      <c r="CW12" s="322">
        <v>40</v>
      </c>
      <c r="CX12" s="321">
        <f>CV12</f>
        <v>21.993749999999999</v>
      </c>
      <c r="CY12" s="319">
        <f t="shared" si="20"/>
        <v>7</v>
      </c>
      <c r="CZ12" s="323">
        <f>CY12*24*DC4</f>
        <v>0</v>
      </c>
      <c r="DA12" s="297">
        <f>CX12</f>
        <v>21.993749999999999</v>
      </c>
      <c r="DB12" s="298">
        <f>CZ12*DA12</f>
        <v>0</v>
      </c>
      <c r="DC12" s="300"/>
      <c r="DD12" s="319">
        <f t="shared" si="6"/>
        <v>3519</v>
      </c>
      <c r="DE12" s="322">
        <f>DD12/183</f>
        <v>19.229508196721312</v>
      </c>
      <c r="DF12" s="322">
        <v>40</v>
      </c>
      <c r="DG12" s="321">
        <f>DE12</f>
        <v>19.229508196721312</v>
      </c>
      <c r="DH12" s="319">
        <f t="shared" si="21"/>
        <v>7</v>
      </c>
      <c r="DI12" s="323">
        <f>DH12*24*DL4</f>
        <v>168</v>
      </c>
      <c r="DJ12" s="297">
        <f>DG12</f>
        <v>19.229508196721312</v>
      </c>
      <c r="DK12" s="298">
        <f>DI12*DJ12</f>
        <v>3230.5573770491806</v>
      </c>
      <c r="DL12" s="300"/>
      <c r="DM12" s="301">
        <f>N12+W12+AF12+AO12+AX12+BG12+BP12+BY12+CH12+CQ12+CZ12+DI12</f>
        <v>2016</v>
      </c>
      <c r="DN12" s="301">
        <f t="shared" si="22"/>
        <v>42208.50667219927</v>
      </c>
      <c r="DO12" s="379"/>
      <c r="DP12" s="378"/>
      <c r="DQ12" s="378"/>
    </row>
    <row r="13" spans="1:121" s="295" customFormat="1">
      <c r="A13" s="317" t="s">
        <v>1739</v>
      </c>
      <c r="B13" s="286">
        <f>2*11*24</f>
        <v>528</v>
      </c>
      <c r="C13" s="318">
        <v>0.5</v>
      </c>
      <c r="D13" s="319">
        <v>2</v>
      </c>
      <c r="E13" s="319">
        <f>D13*24</f>
        <v>48</v>
      </c>
      <c r="F13" s="319"/>
      <c r="G13" s="221"/>
      <c r="H13" s="320">
        <v>3</v>
      </c>
      <c r="I13" s="240">
        <v>3414</v>
      </c>
      <c r="J13" s="321">
        <f>I13/168</f>
        <v>20.321428571428573</v>
      </c>
      <c r="K13" s="322">
        <v>40</v>
      </c>
      <c r="L13" s="321">
        <f>J13</f>
        <v>20.321428571428573</v>
      </c>
      <c r="M13" s="319">
        <f t="shared" si="7"/>
        <v>2</v>
      </c>
      <c r="N13" s="323">
        <f>M13*24*Q4</f>
        <v>96</v>
      </c>
      <c r="O13" s="297">
        <f>L13</f>
        <v>20.321428571428573</v>
      </c>
      <c r="P13" s="298">
        <f>N13*O13</f>
        <v>1950.8571428571431</v>
      </c>
      <c r="Q13" s="298"/>
      <c r="R13" s="319">
        <f t="shared" si="8"/>
        <v>3414</v>
      </c>
      <c r="S13" s="322">
        <f>R13/168</f>
        <v>20.321428571428573</v>
      </c>
      <c r="T13" s="322">
        <v>40</v>
      </c>
      <c r="U13" s="321">
        <f>S13*C13</f>
        <v>10.160714285714286</v>
      </c>
      <c r="V13" s="319">
        <f t="shared" si="9"/>
        <v>2</v>
      </c>
      <c r="W13" s="323">
        <f>V13*8*Z4</f>
        <v>0</v>
      </c>
      <c r="X13" s="297">
        <f>U13</f>
        <v>10.160714285714286</v>
      </c>
      <c r="Y13" s="298">
        <f>W13*X13</f>
        <v>0</v>
      </c>
      <c r="Z13" s="299"/>
      <c r="AA13" s="319">
        <f t="shared" si="0"/>
        <v>3414</v>
      </c>
      <c r="AB13" s="321">
        <f>AA13/159</f>
        <v>21.471698113207548</v>
      </c>
      <c r="AC13" s="322">
        <v>40</v>
      </c>
      <c r="AD13" s="321">
        <f>AB13</f>
        <v>21.471698113207548</v>
      </c>
      <c r="AE13" s="319">
        <f t="shared" si="10"/>
        <v>2</v>
      </c>
      <c r="AF13" s="323">
        <f>AE13*24*AI4</f>
        <v>48</v>
      </c>
      <c r="AG13" s="297">
        <f>AD13</f>
        <v>21.471698113207548</v>
      </c>
      <c r="AH13" s="298">
        <f>AF13*AG13</f>
        <v>1030.6415094339623</v>
      </c>
      <c r="AI13" s="300"/>
      <c r="AJ13" s="319">
        <f t="shared" si="1"/>
        <v>3414</v>
      </c>
      <c r="AK13" s="322">
        <f>AJ13/167</f>
        <v>20.443113772455089</v>
      </c>
      <c r="AL13" s="322">
        <v>40</v>
      </c>
      <c r="AM13" s="321">
        <f>AK13</f>
        <v>20.443113772455089</v>
      </c>
      <c r="AN13" s="319">
        <f t="shared" si="11"/>
        <v>2</v>
      </c>
      <c r="AO13" s="323">
        <f>AN13*24*AR4</f>
        <v>48</v>
      </c>
      <c r="AP13" s="297">
        <f>AM13</f>
        <v>20.443113772455089</v>
      </c>
      <c r="AQ13" s="298">
        <f>AO13*AP13</f>
        <v>981.2694610778442</v>
      </c>
      <c r="AR13" s="300"/>
      <c r="AS13" s="319">
        <f t="shared" si="2"/>
        <v>3414</v>
      </c>
      <c r="AT13" s="322">
        <f>AS13/151</f>
        <v>22.609271523178808</v>
      </c>
      <c r="AU13" s="322">
        <v>40</v>
      </c>
      <c r="AV13" s="321">
        <f>AT13</f>
        <v>22.609271523178808</v>
      </c>
      <c r="AW13" s="319">
        <f t="shared" si="12"/>
        <v>2</v>
      </c>
      <c r="AX13" s="323">
        <f>AW13*24*BA4</f>
        <v>96</v>
      </c>
      <c r="AY13" s="297">
        <f>AV13</f>
        <v>22.609271523178808</v>
      </c>
      <c r="AZ13" s="298">
        <f>AX13*AY13</f>
        <v>2170.4900662251657</v>
      </c>
      <c r="BA13" s="300"/>
      <c r="BB13" s="319">
        <f t="shared" si="3"/>
        <v>3414</v>
      </c>
      <c r="BC13" s="321">
        <f>BB13/167</f>
        <v>20.443113772455089</v>
      </c>
      <c r="BD13" s="322">
        <v>40</v>
      </c>
      <c r="BE13" s="321">
        <f>BC13</f>
        <v>20.443113772455089</v>
      </c>
      <c r="BF13" s="319">
        <f t="shared" si="13"/>
        <v>2</v>
      </c>
      <c r="BG13" s="323">
        <f>BF13*24*BJ4</f>
        <v>96</v>
      </c>
      <c r="BH13" s="297">
        <f>BE13</f>
        <v>20.443113772455089</v>
      </c>
      <c r="BI13" s="298">
        <f>BG13*BH13</f>
        <v>1962.5389221556884</v>
      </c>
      <c r="BJ13" s="300"/>
      <c r="BK13" s="319">
        <f t="shared" si="14"/>
        <v>3414</v>
      </c>
      <c r="BL13" s="322">
        <f>BK13/184</f>
        <v>18.554347826086957</v>
      </c>
      <c r="BM13" s="322">
        <v>40</v>
      </c>
      <c r="BN13" s="321">
        <f>BL13</f>
        <v>18.554347826086957</v>
      </c>
      <c r="BO13" s="319">
        <f t="shared" si="15"/>
        <v>2</v>
      </c>
      <c r="BP13" s="323">
        <f>BO13*24*BS4</f>
        <v>48</v>
      </c>
      <c r="BQ13" s="297">
        <f>BN13</f>
        <v>18.554347826086957</v>
      </c>
      <c r="BR13" s="298">
        <f>BP13*BQ13</f>
        <v>890.60869565217399</v>
      </c>
      <c r="BS13" s="300"/>
      <c r="BT13" s="319">
        <f t="shared" si="4"/>
        <v>3414</v>
      </c>
      <c r="BU13" s="322">
        <f>BT13/160</f>
        <v>21.337499999999999</v>
      </c>
      <c r="BV13" s="322">
        <v>40</v>
      </c>
      <c r="BW13" s="321">
        <f>BU13</f>
        <v>21.337499999999999</v>
      </c>
      <c r="BX13" s="319">
        <f t="shared" si="16"/>
        <v>2</v>
      </c>
      <c r="BY13" s="323">
        <f>BX13*24*CB4</f>
        <v>48</v>
      </c>
      <c r="BZ13" s="297">
        <f>BW13</f>
        <v>21.337499999999999</v>
      </c>
      <c r="CA13" s="298">
        <f>BY13*BZ13</f>
        <v>1024.1999999999998</v>
      </c>
      <c r="CB13" s="300"/>
      <c r="CC13" s="319">
        <f t="shared" si="17"/>
        <v>3414</v>
      </c>
      <c r="CD13" s="322">
        <f>CC13/176</f>
        <v>19.397727272727273</v>
      </c>
      <c r="CE13" s="322">
        <v>40</v>
      </c>
      <c r="CF13" s="321">
        <f>CD13</f>
        <v>19.397727272727273</v>
      </c>
      <c r="CG13" s="319">
        <f t="shared" si="18"/>
        <v>2</v>
      </c>
      <c r="CH13" s="323">
        <f>CG13*24*CK4</f>
        <v>0</v>
      </c>
      <c r="CI13" s="297">
        <f>CF13</f>
        <v>19.397727272727273</v>
      </c>
      <c r="CJ13" s="298">
        <f>CH13*CI13</f>
        <v>0</v>
      </c>
      <c r="CK13" s="300"/>
      <c r="CL13" s="319">
        <v>3519</v>
      </c>
      <c r="CM13" s="322">
        <f>CL13/184</f>
        <v>19.125</v>
      </c>
      <c r="CN13" s="322">
        <v>40</v>
      </c>
      <c r="CO13" s="321">
        <f>CM13</f>
        <v>19.125</v>
      </c>
      <c r="CP13" s="319">
        <f t="shared" si="19"/>
        <v>2</v>
      </c>
      <c r="CQ13" s="323">
        <f>CP13*24*CT4</f>
        <v>48</v>
      </c>
      <c r="CR13" s="297">
        <f>CO13</f>
        <v>19.125</v>
      </c>
      <c r="CS13" s="298">
        <f>CQ13*CR13</f>
        <v>918</v>
      </c>
      <c r="CT13" s="300"/>
      <c r="CU13" s="319">
        <f t="shared" si="5"/>
        <v>3519</v>
      </c>
      <c r="CV13" s="322">
        <f>CU13/160</f>
        <v>21.993749999999999</v>
      </c>
      <c r="CW13" s="322">
        <v>40</v>
      </c>
      <c r="CX13" s="321">
        <f>CV13</f>
        <v>21.993749999999999</v>
      </c>
      <c r="CY13" s="319">
        <f t="shared" si="20"/>
        <v>2</v>
      </c>
      <c r="CZ13" s="323">
        <f>CY13*24*DC4</f>
        <v>0</v>
      </c>
      <c r="DA13" s="297">
        <f>CX13</f>
        <v>21.993749999999999</v>
      </c>
      <c r="DB13" s="298">
        <f>CZ13*DA13</f>
        <v>0</v>
      </c>
      <c r="DC13" s="300"/>
      <c r="DD13" s="319">
        <f t="shared" si="6"/>
        <v>3519</v>
      </c>
      <c r="DE13" s="322">
        <f>DD13/183</f>
        <v>19.229508196721312</v>
      </c>
      <c r="DF13" s="322">
        <v>40</v>
      </c>
      <c r="DG13" s="321">
        <f>DE13</f>
        <v>19.229508196721312</v>
      </c>
      <c r="DH13" s="319">
        <f t="shared" si="21"/>
        <v>2</v>
      </c>
      <c r="DI13" s="323">
        <f>DH13*24*DL4</f>
        <v>48</v>
      </c>
      <c r="DJ13" s="297">
        <f>DG13</f>
        <v>19.229508196721312</v>
      </c>
      <c r="DK13" s="298">
        <f>DI13*DJ13</f>
        <v>923.01639344262298</v>
      </c>
      <c r="DL13" s="300"/>
      <c r="DM13" s="301">
        <f>N13+W13+AF13+AO13+AX13+BG13+BP13+BY13+CH13+CQ13+CZ13+DI13</f>
        <v>576</v>
      </c>
      <c r="DN13" s="301">
        <f t="shared" si="22"/>
        <v>11851.622190844602</v>
      </c>
      <c r="DO13" s="379"/>
      <c r="DP13" s="378"/>
      <c r="DQ13" s="378"/>
    </row>
    <row r="14" spans="1:121" s="295" customFormat="1">
      <c r="A14" s="311" t="s">
        <v>1709</v>
      </c>
      <c r="B14" s="312"/>
      <c r="C14" s="313"/>
      <c r="D14" s="319"/>
      <c r="E14" s="314"/>
      <c r="F14" s="314"/>
      <c r="G14" s="315"/>
      <c r="H14" s="316"/>
      <c r="I14" s="240">
        <f>F14</f>
        <v>0</v>
      </c>
      <c r="J14" s="324"/>
      <c r="K14" s="314"/>
      <c r="L14" s="321"/>
      <c r="M14" s="319">
        <f t="shared" si="7"/>
        <v>0</v>
      </c>
      <c r="N14" s="325"/>
      <c r="O14" s="297"/>
      <c r="P14" s="298"/>
      <c r="Q14" s="298"/>
      <c r="R14" s="319">
        <f t="shared" si="8"/>
        <v>0</v>
      </c>
      <c r="S14" s="314"/>
      <c r="T14" s="314"/>
      <c r="U14" s="321"/>
      <c r="V14" s="319">
        <f t="shared" si="9"/>
        <v>0</v>
      </c>
      <c r="W14" s="325"/>
      <c r="X14" s="297"/>
      <c r="Y14" s="298"/>
      <c r="Z14" s="299"/>
      <c r="AA14" s="319">
        <f t="shared" si="0"/>
        <v>0</v>
      </c>
      <c r="AB14" s="324"/>
      <c r="AC14" s="314"/>
      <c r="AD14" s="321"/>
      <c r="AE14" s="319">
        <f t="shared" si="10"/>
        <v>0</v>
      </c>
      <c r="AF14" s="325"/>
      <c r="AG14" s="297"/>
      <c r="AH14" s="298"/>
      <c r="AI14" s="300"/>
      <c r="AJ14" s="319">
        <f t="shared" si="1"/>
        <v>0</v>
      </c>
      <c r="AK14" s="314"/>
      <c r="AL14" s="314"/>
      <c r="AM14" s="321"/>
      <c r="AN14" s="319">
        <f t="shared" si="11"/>
        <v>0</v>
      </c>
      <c r="AO14" s="325"/>
      <c r="AP14" s="297"/>
      <c r="AQ14" s="298"/>
      <c r="AR14" s="300"/>
      <c r="AS14" s="319">
        <f t="shared" si="2"/>
        <v>0</v>
      </c>
      <c r="AT14" s="314"/>
      <c r="AU14" s="314"/>
      <c r="AV14" s="321"/>
      <c r="AW14" s="319">
        <f t="shared" si="12"/>
        <v>0</v>
      </c>
      <c r="AX14" s="325"/>
      <c r="AY14" s="297"/>
      <c r="AZ14" s="298"/>
      <c r="BA14" s="300"/>
      <c r="BB14" s="319">
        <f t="shared" si="3"/>
        <v>0</v>
      </c>
      <c r="BC14" s="324"/>
      <c r="BD14" s="314"/>
      <c r="BE14" s="321"/>
      <c r="BF14" s="319">
        <f t="shared" si="13"/>
        <v>0</v>
      </c>
      <c r="BG14" s="325"/>
      <c r="BH14" s="297"/>
      <c r="BI14" s="298"/>
      <c r="BJ14" s="300"/>
      <c r="BK14" s="319">
        <f t="shared" si="14"/>
        <v>0</v>
      </c>
      <c r="BL14" s="314"/>
      <c r="BM14" s="314"/>
      <c r="BN14" s="321"/>
      <c r="BO14" s="319">
        <f t="shared" si="15"/>
        <v>0</v>
      </c>
      <c r="BP14" s="325"/>
      <c r="BQ14" s="297"/>
      <c r="BR14" s="298"/>
      <c r="BS14" s="300"/>
      <c r="BT14" s="319">
        <f t="shared" si="4"/>
        <v>0</v>
      </c>
      <c r="BU14" s="314"/>
      <c r="BV14" s="314"/>
      <c r="BW14" s="321"/>
      <c r="BX14" s="319">
        <f t="shared" si="16"/>
        <v>0</v>
      </c>
      <c r="BY14" s="325"/>
      <c r="BZ14" s="297"/>
      <c r="CA14" s="298"/>
      <c r="CB14" s="300"/>
      <c r="CC14" s="319">
        <f t="shared" si="17"/>
        <v>0</v>
      </c>
      <c r="CD14" s="314"/>
      <c r="CE14" s="314"/>
      <c r="CF14" s="321"/>
      <c r="CG14" s="319">
        <f t="shared" si="18"/>
        <v>0</v>
      </c>
      <c r="CH14" s="325"/>
      <c r="CI14" s="297"/>
      <c r="CJ14" s="298"/>
      <c r="CK14" s="300"/>
      <c r="CL14" s="319">
        <f t="shared" si="23"/>
        <v>0</v>
      </c>
      <c r="CM14" s="314"/>
      <c r="CN14" s="314"/>
      <c r="CO14" s="321"/>
      <c r="CP14" s="319">
        <f t="shared" si="19"/>
        <v>0</v>
      </c>
      <c r="CQ14" s="325"/>
      <c r="CR14" s="297"/>
      <c r="CS14" s="298"/>
      <c r="CT14" s="300"/>
      <c r="CU14" s="319">
        <f t="shared" si="5"/>
        <v>0</v>
      </c>
      <c r="CV14" s="314"/>
      <c r="CW14" s="314"/>
      <c r="CX14" s="321"/>
      <c r="CY14" s="319">
        <f t="shared" si="20"/>
        <v>0</v>
      </c>
      <c r="CZ14" s="325"/>
      <c r="DA14" s="297"/>
      <c r="DB14" s="298"/>
      <c r="DC14" s="300"/>
      <c r="DD14" s="319">
        <f t="shared" si="6"/>
        <v>0</v>
      </c>
      <c r="DE14" s="314"/>
      <c r="DF14" s="314"/>
      <c r="DG14" s="321"/>
      <c r="DH14" s="319">
        <f t="shared" si="21"/>
        <v>0</v>
      </c>
      <c r="DI14" s="325"/>
      <c r="DJ14" s="297"/>
      <c r="DK14" s="298"/>
      <c r="DL14" s="300"/>
      <c r="DM14" s="301"/>
      <c r="DN14" s="301">
        <f t="shared" si="22"/>
        <v>0</v>
      </c>
      <c r="DO14" s="379"/>
      <c r="DP14" s="378"/>
      <c r="DQ14" s="378"/>
    </row>
    <row r="15" spans="1:121" s="295" customFormat="1">
      <c r="A15" s="317" t="s">
        <v>1739</v>
      </c>
      <c r="B15" s="286">
        <f>2*11*24</f>
        <v>528</v>
      </c>
      <c r="C15" s="318">
        <v>0.35</v>
      </c>
      <c r="D15" s="314">
        <v>2</v>
      </c>
      <c r="E15" s="319">
        <f>D15*24</f>
        <v>48</v>
      </c>
      <c r="F15" s="319"/>
      <c r="G15" s="221"/>
      <c r="H15" s="320">
        <v>3</v>
      </c>
      <c r="I15" s="240">
        <v>3414</v>
      </c>
      <c r="J15" s="321">
        <f>I15/168</f>
        <v>20.321428571428573</v>
      </c>
      <c r="K15" s="322">
        <v>40</v>
      </c>
      <c r="L15" s="321">
        <f>J15</f>
        <v>20.321428571428573</v>
      </c>
      <c r="M15" s="319">
        <f t="shared" si="7"/>
        <v>2</v>
      </c>
      <c r="N15" s="323">
        <f>M15*24*Q4</f>
        <v>96</v>
      </c>
      <c r="O15" s="297">
        <f>L15</f>
        <v>20.321428571428573</v>
      </c>
      <c r="P15" s="298">
        <f>N15*O15</f>
        <v>1950.8571428571431</v>
      </c>
      <c r="Q15" s="298"/>
      <c r="R15" s="319">
        <f t="shared" si="8"/>
        <v>3414</v>
      </c>
      <c r="S15" s="322">
        <f>R15/168</f>
        <v>20.321428571428573</v>
      </c>
      <c r="T15" s="322">
        <v>40</v>
      </c>
      <c r="U15" s="321">
        <f>S15*C15</f>
        <v>7.1124999999999998</v>
      </c>
      <c r="V15" s="319">
        <f t="shared" si="9"/>
        <v>2</v>
      </c>
      <c r="W15" s="323">
        <f>V15*24*Z4</f>
        <v>0</v>
      </c>
      <c r="X15" s="297">
        <f>U15</f>
        <v>7.1124999999999998</v>
      </c>
      <c r="Y15" s="298">
        <f>W15*X15</f>
        <v>0</v>
      </c>
      <c r="Z15" s="299"/>
      <c r="AA15" s="319">
        <f t="shared" si="0"/>
        <v>3414</v>
      </c>
      <c r="AB15" s="321">
        <f>AA15/159</f>
        <v>21.471698113207548</v>
      </c>
      <c r="AC15" s="322">
        <v>40</v>
      </c>
      <c r="AD15" s="321">
        <f>AB15</f>
        <v>21.471698113207548</v>
      </c>
      <c r="AE15" s="319">
        <f t="shared" si="10"/>
        <v>2</v>
      </c>
      <c r="AF15" s="323">
        <f>AE15*24*AI4</f>
        <v>48</v>
      </c>
      <c r="AG15" s="297">
        <f>AD15</f>
        <v>21.471698113207548</v>
      </c>
      <c r="AH15" s="298">
        <f>AF15*AG15</f>
        <v>1030.6415094339623</v>
      </c>
      <c r="AI15" s="300"/>
      <c r="AJ15" s="319">
        <f t="shared" si="1"/>
        <v>3414</v>
      </c>
      <c r="AK15" s="322">
        <f>AJ15/167</f>
        <v>20.443113772455089</v>
      </c>
      <c r="AL15" s="322">
        <v>40</v>
      </c>
      <c r="AM15" s="321">
        <f>AK15</f>
        <v>20.443113772455089</v>
      </c>
      <c r="AN15" s="319">
        <f t="shared" si="11"/>
        <v>2</v>
      </c>
      <c r="AO15" s="323">
        <f>AN15*24*AR4</f>
        <v>48</v>
      </c>
      <c r="AP15" s="297">
        <f>AM15</f>
        <v>20.443113772455089</v>
      </c>
      <c r="AQ15" s="298">
        <f>AO15*AP15</f>
        <v>981.2694610778442</v>
      </c>
      <c r="AR15" s="300"/>
      <c r="AS15" s="319">
        <f t="shared" si="2"/>
        <v>3414</v>
      </c>
      <c r="AT15" s="322">
        <f>AS15/151</f>
        <v>22.609271523178808</v>
      </c>
      <c r="AU15" s="322">
        <v>40</v>
      </c>
      <c r="AV15" s="321">
        <f>AT15</f>
        <v>22.609271523178808</v>
      </c>
      <c r="AW15" s="319">
        <f t="shared" si="12"/>
        <v>2</v>
      </c>
      <c r="AX15" s="323">
        <f>AW15*24*BA4</f>
        <v>96</v>
      </c>
      <c r="AY15" s="297">
        <f>AV15</f>
        <v>22.609271523178808</v>
      </c>
      <c r="AZ15" s="298"/>
      <c r="BA15" s="300"/>
      <c r="BB15" s="319">
        <f t="shared" si="3"/>
        <v>3414</v>
      </c>
      <c r="BC15" s="321">
        <f>BB15/167</f>
        <v>20.443113772455089</v>
      </c>
      <c r="BD15" s="322">
        <v>40</v>
      </c>
      <c r="BE15" s="321">
        <f>BC15</f>
        <v>20.443113772455089</v>
      </c>
      <c r="BF15" s="319">
        <f t="shared" si="13"/>
        <v>2</v>
      </c>
      <c r="BG15" s="323">
        <f>BF15*24*BJ4</f>
        <v>96</v>
      </c>
      <c r="BH15" s="297">
        <f>BE15</f>
        <v>20.443113772455089</v>
      </c>
      <c r="BI15" s="298"/>
      <c r="BJ15" s="300"/>
      <c r="BK15" s="319">
        <f t="shared" si="14"/>
        <v>3414</v>
      </c>
      <c r="BL15" s="322">
        <f>BK15/184</f>
        <v>18.554347826086957</v>
      </c>
      <c r="BM15" s="322">
        <v>40</v>
      </c>
      <c r="BN15" s="321">
        <f>BL15</f>
        <v>18.554347826086957</v>
      </c>
      <c r="BO15" s="319">
        <f t="shared" si="15"/>
        <v>2</v>
      </c>
      <c r="BP15" s="323">
        <f>BO15*24*BS4</f>
        <v>48</v>
      </c>
      <c r="BQ15" s="297">
        <f>BN15</f>
        <v>18.554347826086957</v>
      </c>
      <c r="BR15" s="298">
        <f>BP15*BQ15</f>
        <v>890.60869565217399</v>
      </c>
      <c r="BS15" s="300"/>
      <c r="BT15" s="319">
        <v>3723</v>
      </c>
      <c r="BU15" s="322">
        <f>BT15/160</f>
        <v>23.268750000000001</v>
      </c>
      <c r="BV15" s="322">
        <v>40</v>
      </c>
      <c r="BW15" s="321">
        <f>BU15</f>
        <v>23.268750000000001</v>
      </c>
      <c r="BX15" s="319">
        <f t="shared" si="16"/>
        <v>2</v>
      </c>
      <c r="BY15" s="323">
        <f>BX15*24*CB4</f>
        <v>48</v>
      </c>
      <c r="BZ15" s="297">
        <f>BW15</f>
        <v>23.268750000000001</v>
      </c>
      <c r="CA15" s="298"/>
      <c r="CB15" s="300"/>
      <c r="CC15" s="319">
        <f t="shared" si="17"/>
        <v>3723</v>
      </c>
      <c r="CD15" s="322">
        <f>CC15/176</f>
        <v>21.15340909090909</v>
      </c>
      <c r="CE15" s="322">
        <v>40</v>
      </c>
      <c r="CF15" s="321">
        <f>CD15</f>
        <v>21.15340909090909</v>
      </c>
      <c r="CG15" s="319">
        <f t="shared" si="18"/>
        <v>2</v>
      </c>
      <c r="CH15" s="323">
        <f>CG15*24*CK4</f>
        <v>0</v>
      </c>
      <c r="CI15" s="297">
        <f>CF15</f>
        <v>21.15340909090909</v>
      </c>
      <c r="CJ15" s="298">
        <f>CH15*CI15</f>
        <v>0</v>
      </c>
      <c r="CK15" s="300"/>
      <c r="CL15" s="319">
        <v>3519</v>
      </c>
      <c r="CM15" s="322">
        <f>CL15/184</f>
        <v>19.125</v>
      </c>
      <c r="CN15" s="322">
        <v>40</v>
      </c>
      <c r="CO15" s="321">
        <f>CM15</f>
        <v>19.125</v>
      </c>
      <c r="CP15" s="319">
        <f t="shared" si="19"/>
        <v>2</v>
      </c>
      <c r="CQ15" s="323">
        <f>CP15*24*CT4</f>
        <v>48</v>
      </c>
      <c r="CR15" s="297">
        <f>CO15</f>
        <v>19.125</v>
      </c>
      <c r="CS15" s="298">
        <f>CQ15*CR15</f>
        <v>918</v>
      </c>
      <c r="CT15" s="300"/>
      <c r="CU15" s="319">
        <f t="shared" si="5"/>
        <v>3519</v>
      </c>
      <c r="CV15" s="322">
        <f>CU15/160</f>
        <v>21.993749999999999</v>
      </c>
      <c r="CW15" s="322">
        <v>40</v>
      </c>
      <c r="CX15" s="321">
        <f>CV15</f>
        <v>21.993749999999999</v>
      </c>
      <c r="CY15" s="319">
        <f t="shared" si="20"/>
        <v>2</v>
      </c>
      <c r="CZ15" s="323">
        <f>CY15*24*DC4</f>
        <v>0</v>
      </c>
      <c r="DA15" s="297">
        <f>CX15</f>
        <v>21.993749999999999</v>
      </c>
      <c r="DB15" s="298">
        <f>CZ15*DA15</f>
        <v>0</v>
      </c>
      <c r="DC15" s="300"/>
      <c r="DD15" s="319">
        <f t="shared" si="6"/>
        <v>3519</v>
      </c>
      <c r="DE15" s="322">
        <f>DD15/183</f>
        <v>19.229508196721312</v>
      </c>
      <c r="DF15" s="322">
        <v>40</v>
      </c>
      <c r="DG15" s="321">
        <f>DE15</f>
        <v>19.229508196721312</v>
      </c>
      <c r="DH15" s="319">
        <f t="shared" si="21"/>
        <v>2</v>
      </c>
      <c r="DI15" s="323">
        <f>DH15*24*DL4</f>
        <v>48</v>
      </c>
      <c r="DJ15" s="297">
        <f>DG15</f>
        <v>19.229508196721312</v>
      </c>
      <c r="DK15" s="298">
        <f>DI15*DJ15</f>
        <v>923.01639344262298</v>
      </c>
      <c r="DL15" s="300"/>
      <c r="DM15" s="301">
        <f>N15+W15+AF15+AO15+AX15+BG15+BP15+BY15+CH15+CQ15+CZ15+DI15</f>
        <v>576</v>
      </c>
      <c r="DN15" s="301">
        <f t="shared" si="22"/>
        <v>6694.3932024637461</v>
      </c>
      <c r="DO15" s="379"/>
      <c r="DP15" s="378"/>
      <c r="DQ15" s="378"/>
    </row>
    <row r="16" spans="1:121" s="295" customFormat="1">
      <c r="A16" s="311" t="s">
        <v>1710</v>
      </c>
      <c r="B16" s="312"/>
      <c r="C16" s="313"/>
      <c r="D16" s="319"/>
      <c r="E16" s="314"/>
      <c r="F16" s="314"/>
      <c r="G16" s="315"/>
      <c r="H16" s="316"/>
      <c r="I16" s="240">
        <f>F16</f>
        <v>0</v>
      </c>
      <c r="J16" s="324"/>
      <c r="K16" s="314"/>
      <c r="L16" s="321"/>
      <c r="M16" s="319">
        <f t="shared" si="7"/>
        <v>0</v>
      </c>
      <c r="N16" s="325"/>
      <c r="O16" s="297"/>
      <c r="P16" s="298"/>
      <c r="Q16" s="298"/>
      <c r="R16" s="319">
        <f t="shared" si="8"/>
        <v>0</v>
      </c>
      <c r="S16" s="314"/>
      <c r="T16" s="314"/>
      <c r="U16" s="321"/>
      <c r="V16" s="319">
        <f t="shared" si="9"/>
        <v>0</v>
      </c>
      <c r="W16" s="325"/>
      <c r="X16" s="297"/>
      <c r="Y16" s="298"/>
      <c r="Z16" s="299"/>
      <c r="AA16" s="319">
        <f t="shared" si="0"/>
        <v>0</v>
      </c>
      <c r="AB16" s="324"/>
      <c r="AC16" s="314"/>
      <c r="AD16" s="321"/>
      <c r="AE16" s="319">
        <f t="shared" si="10"/>
        <v>0</v>
      </c>
      <c r="AF16" s="325"/>
      <c r="AG16" s="297"/>
      <c r="AH16" s="298"/>
      <c r="AI16" s="300"/>
      <c r="AJ16" s="319">
        <f t="shared" si="1"/>
        <v>0</v>
      </c>
      <c r="AK16" s="314"/>
      <c r="AL16" s="314"/>
      <c r="AM16" s="321"/>
      <c r="AN16" s="319">
        <f t="shared" si="11"/>
        <v>0</v>
      </c>
      <c r="AO16" s="325"/>
      <c r="AP16" s="297"/>
      <c r="AQ16" s="298"/>
      <c r="AR16" s="300"/>
      <c r="AS16" s="319">
        <f t="shared" si="2"/>
        <v>0</v>
      </c>
      <c r="AT16" s="314"/>
      <c r="AU16" s="314"/>
      <c r="AV16" s="321"/>
      <c r="AW16" s="319">
        <f t="shared" si="12"/>
        <v>0</v>
      </c>
      <c r="AX16" s="325"/>
      <c r="AY16" s="297"/>
      <c r="AZ16" s="298"/>
      <c r="BA16" s="300"/>
      <c r="BB16" s="319">
        <f t="shared" si="3"/>
        <v>0</v>
      </c>
      <c r="BC16" s="324"/>
      <c r="BD16" s="314"/>
      <c r="BE16" s="321"/>
      <c r="BF16" s="319">
        <f t="shared" si="13"/>
        <v>0</v>
      </c>
      <c r="BG16" s="325"/>
      <c r="BH16" s="297"/>
      <c r="BI16" s="298"/>
      <c r="BJ16" s="300"/>
      <c r="BK16" s="319">
        <f t="shared" si="14"/>
        <v>0</v>
      </c>
      <c r="BL16" s="314"/>
      <c r="BM16" s="314"/>
      <c r="BN16" s="321"/>
      <c r="BO16" s="319">
        <f t="shared" si="15"/>
        <v>0</v>
      </c>
      <c r="BP16" s="325"/>
      <c r="BQ16" s="297"/>
      <c r="BR16" s="298"/>
      <c r="BS16" s="300"/>
      <c r="BT16" s="319">
        <f>BK16</f>
        <v>0</v>
      </c>
      <c r="BU16" s="314"/>
      <c r="BV16" s="314"/>
      <c r="BW16" s="321"/>
      <c r="BX16" s="319">
        <f t="shared" si="16"/>
        <v>0</v>
      </c>
      <c r="BY16" s="325"/>
      <c r="BZ16" s="297"/>
      <c r="CA16" s="298"/>
      <c r="CB16" s="300"/>
      <c r="CC16" s="319">
        <f t="shared" si="17"/>
        <v>0</v>
      </c>
      <c r="CD16" s="314"/>
      <c r="CE16" s="314"/>
      <c r="CF16" s="321"/>
      <c r="CG16" s="319">
        <f t="shared" si="18"/>
        <v>0</v>
      </c>
      <c r="CH16" s="325"/>
      <c r="CI16" s="297"/>
      <c r="CJ16" s="298"/>
      <c r="CK16" s="300"/>
      <c r="CL16" s="319">
        <f t="shared" si="23"/>
        <v>0</v>
      </c>
      <c r="CM16" s="314"/>
      <c r="CN16" s="314"/>
      <c r="CO16" s="321"/>
      <c r="CP16" s="319">
        <f t="shared" si="19"/>
        <v>0</v>
      </c>
      <c r="CQ16" s="325"/>
      <c r="CR16" s="297"/>
      <c r="CS16" s="298"/>
      <c r="CT16" s="300"/>
      <c r="CU16" s="319">
        <f t="shared" si="5"/>
        <v>0</v>
      </c>
      <c r="CV16" s="314"/>
      <c r="CW16" s="314"/>
      <c r="CX16" s="321"/>
      <c r="CY16" s="319">
        <f t="shared" si="20"/>
        <v>0</v>
      </c>
      <c r="CZ16" s="325"/>
      <c r="DA16" s="297"/>
      <c r="DB16" s="298"/>
      <c r="DC16" s="300"/>
      <c r="DD16" s="319">
        <f t="shared" si="6"/>
        <v>0</v>
      </c>
      <c r="DE16" s="314"/>
      <c r="DF16" s="314"/>
      <c r="DG16" s="321"/>
      <c r="DH16" s="319">
        <f t="shared" si="21"/>
        <v>0</v>
      </c>
      <c r="DI16" s="325"/>
      <c r="DJ16" s="297"/>
      <c r="DK16" s="298"/>
      <c r="DL16" s="300"/>
      <c r="DM16" s="301"/>
      <c r="DN16" s="301">
        <f t="shared" si="22"/>
        <v>0</v>
      </c>
      <c r="DO16" s="379"/>
      <c r="DP16" s="378"/>
      <c r="DQ16" s="378"/>
    </row>
    <row r="17" spans="1:121" s="295" customFormat="1">
      <c r="A17" s="317" t="s">
        <v>1740</v>
      </c>
      <c r="B17" s="286">
        <f>1*11*24</f>
        <v>264</v>
      </c>
      <c r="C17" s="318">
        <v>0.35</v>
      </c>
      <c r="D17" s="314">
        <v>1</v>
      </c>
      <c r="E17" s="319">
        <f>D17*24</f>
        <v>24</v>
      </c>
      <c r="F17" s="319"/>
      <c r="G17" s="221"/>
      <c r="H17" s="320">
        <v>1</v>
      </c>
      <c r="I17" s="240">
        <v>2893</v>
      </c>
      <c r="J17" s="321">
        <f>I17/168</f>
        <v>17.220238095238095</v>
      </c>
      <c r="K17" s="322">
        <v>40</v>
      </c>
      <c r="L17" s="321">
        <f>J17</f>
        <v>17.220238095238095</v>
      </c>
      <c r="M17" s="319">
        <f t="shared" si="7"/>
        <v>1</v>
      </c>
      <c r="N17" s="323">
        <f>M17*24*Q4</f>
        <v>48</v>
      </c>
      <c r="O17" s="297">
        <f>L17</f>
        <v>17.220238095238095</v>
      </c>
      <c r="P17" s="298">
        <f>N17*O17</f>
        <v>826.57142857142856</v>
      </c>
      <c r="Q17" s="298"/>
      <c r="R17" s="319">
        <f t="shared" si="8"/>
        <v>2893</v>
      </c>
      <c r="S17" s="322">
        <f>R17/168</f>
        <v>17.220238095238095</v>
      </c>
      <c r="T17" s="322">
        <v>40</v>
      </c>
      <c r="U17" s="321">
        <f>S17*C17</f>
        <v>6.0270833333333327</v>
      </c>
      <c r="V17" s="319">
        <f t="shared" si="9"/>
        <v>1</v>
      </c>
      <c r="W17" s="323">
        <f>V17*8*Z2</f>
        <v>0</v>
      </c>
      <c r="X17" s="297">
        <f>U17</f>
        <v>6.0270833333333327</v>
      </c>
      <c r="Y17" s="298">
        <f>W17*X17</f>
        <v>0</v>
      </c>
      <c r="Z17" s="299"/>
      <c r="AA17" s="319">
        <f t="shared" si="0"/>
        <v>2893</v>
      </c>
      <c r="AB17" s="321">
        <f>AA17/159</f>
        <v>18.19496855345912</v>
      </c>
      <c r="AC17" s="322">
        <v>40</v>
      </c>
      <c r="AD17" s="321">
        <f>AB17</f>
        <v>18.19496855345912</v>
      </c>
      <c r="AE17" s="319">
        <f t="shared" si="10"/>
        <v>1</v>
      </c>
      <c r="AF17" s="323">
        <f>AE17*24*AI4</f>
        <v>24</v>
      </c>
      <c r="AG17" s="297">
        <f>AD17</f>
        <v>18.19496855345912</v>
      </c>
      <c r="AH17" s="298">
        <f>AF17*AG17</f>
        <v>436.67924528301887</v>
      </c>
      <c r="AI17" s="300"/>
      <c r="AJ17" s="319">
        <f t="shared" si="1"/>
        <v>2893</v>
      </c>
      <c r="AK17" s="322">
        <f>AJ17/167</f>
        <v>17.323353293413174</v>
      </c>
      <c r="AL17" s="322">
        <v>40</v>
      </c>
      <c r="AM17" s="321">
        <f>AK17</f>
        <v>17.323353293413174</v>
      </c>
      <c r="AN17" s="319">
        <f t="shared" si="11"/>
        <v>1</v>
      </c>
      <c r="AO17" s="323">
        <f>AN17*24*AR4</f>
        <v>24</v>
      </c>
      <c r="AP17" s="297">
        <f>AM17</f>
        <v>17.323353293413174</v>
      </c>
      <c r="AQ17" s="298">
        <f>AO17*AP17</f>
        <v>415.76047904191614</v>
      </c>
      <c r="AR17" s="300"/>
      <c r="AS17" s="319">
        <f t="shared" si="2"/>
        <v>2893</v>
      </c>
      <c r="AT17" s="322">
        <f>AS17/151</f>
        <v>19.158940397350992</v>
      </c>
      <c r="AU17" s="322">
        <v>40</v>
      </c>
      <c r="AV17" s="321">
        <f>AT17</f>
        <v>19.158940397350992</v>
      </c>
      <c r="AW17" s="319">
        <f t="shared" si="12"/>
        <v>1</v>
      </c>
      <c r="AX17" s="323">
        <f>AW17*24*BA4</f>
        <v>48</v>
      </c>
      <c r="AY17" s="297">
        <f>AV17</f>
        <v>19.158940397350992</v>
      </c>
      <c r="AZ17" s="298">
        <f>AX17*AY17</f>
        <v>919.62913907284769</v>
      </c>
      <c r="BA17" s="300"/>
      <c r="BB17" s="319">
        <f t="shared" si="3"/>
        <v>2893</v>
      </c>
      <c r="BC17" s="321">
        <f>BB17/167</f>
        <v>17.323353293413174</v>
      </c>
      <c r="BD17" s="322">
        <v>40</v>
      </c>
      <c r="BE17" s="321">
        <f>BC17</f>
        <v>17.323353293413174</v>
      </c>
      <c r="BF17" s="319">
        <f t="shared" si="13"/>
        <v>1</v>
      </c>
      <c r="BG17" s="323">
        <f>BF17*24*BJ4</f>
        <v>48</v>
      </c>
      <c r="BH17" s="297">
        <f>BE17</f>
        <v>17.323353293413174</v>
      </c>
      <c r="BI17" s="298">
        <f>BG17*BH17</f>
        <v>831.52095808383228</v>
      </c>
      <c r="BJ17" s="300"/>
      <c r="BK17" s="319">
        <f t="shared" si="14"/>
        <v>2893</v>
      </c>
      <c r="BL17" s="322">
        <f>BK17/184</f>
        <v>15.722826086956522</v>
      </c>
      <c r="BM17" s="322">
        <v>40</v>
      </c>
      <c r="BN17" s="321">
        <f>BL17</f>
        <v>15.722826086956522</v>
      </c>
      <c r="BO17" s="319">
        <f t="shared" si="15"/>
        <v>1</v>
      </c>
      <c r="BP17" s="323">
        <f>BO17*24*BS2</f>
        <v>0</v>
      </c>
      <c r="BQ17" s="297">
        <f>BN17</f>
        <v>15.722826086956522</v>
      </c>
      <c r="BR17" s="298">
        <f>BP17*BQ17</f>
        <v>0</v>
      </c>
      <c r="BS17" s="300"/>
      <c r="BT17" s="319">
        <f>BK17</f>
        <v>2893</v>
      </c>
      <c r="BU17" s="322">
        <f>BT17/160</f>
        <v>18.081250000000001</v>
      </c>
      <c r="BV17" s="322">
        <v>40</v>
      </c>
      <c r="BW17" s="321">
        <f>BU17</f>
        <v>18.081250000000001</v>
      </c>
      <c r="BX17" s="319">
        <f t="shared" si="16"/>
        <v>1</v>
      </c>
      <c r="BY17" s="323">
        <f>BX17*24*CB4</f>
        <v>24</v>
      </c>
      <c r="BZ17" s="297">
        <f>BW17</f>
        <v>18.081250000000001</v>
      </c>
      <c r="CA17" s="298">
        <f>BY17*BZ17</f>
        <v>433.95000000000005</v>
      </c>
      <c r="CB17" s="300"/>
      <c r="CC17" s="319">
        <f t="shared" si="17"/>
        <v>2893</v>
      </c>
      <c r="CD17" s="322">
        <f>CC17/176</f>
        <v>16.4375</v>
      </c>
      <c r="CE17" s="322">
        <v>40</v>
      </c>
      <c r="CF17" s="321">
        <f>CD17</f>
        <v>16.4375</v>
      </c>
      <c r="CG17" s="319">
        <f t="shared" si="18"/>
        <v>1</v>
      </c>
      <c r="CH17" s="323">
        <f>CG17*24*CK2</f>
        <v>0</v>
      </c>
      <c r="CI17" s="297">
        <f>CF17</f>
        <v>16.4375</v>
      </c>
      <c r="CJ17" s="298">
        <f>CH17*CI17</f>
        <v>0</v>
      </c>
      <c r="CK17" s="300"/>
      <c r="CL17" s="319">
        <v>2982</v>
      </c>
      <c r="CM17" s="322">
        <f>CL17/184</f>
        <v>16.206521739130434</v>
      </c>
      <c r="CN17" s="322">
        <v>40</v>
      </c>
      <c r="CO17" s="321">
        <f>CM17</f>
        <v>16.206521739130434</v>
      </c>
      <c r="CP17" s="319">
        <f t="shared" si="19"/>
        <v>1</v>
      </c>
      <c r="CQ17" s="323">
        <f>CP17*24*CT4</f>
        <v>24</v>
      </c>
      <c r="CR17" s="297">
        <f>CO17</f>
        <v>16.206521739130434</v>
      </c>
      <c r="CS17" s="298">
        <f>CQ17*CR17</f>
        <v>388.95652173913038</v>
      </c>
      <c r="CT17" s="300"/>
      <c r="CU17" s="319">
        <f t="shared" si="5"/>
        <v>2982</v>
      </c>
      <c r="CV17" s="322">
        <f>CU17/160</f>
        <v>18.637499999999999</v>
      </c>
      <c r="CW17" s="322">
        <v>40</v>
      </c>
      <c r="CX17" s="321">
        <f>CV17</f>
        <v>18.637499999999999</v>
      </c>
      <c r="CY17" s="319">
        <f t="shared" si="20"/>
        <v>1</v>
      </c>
      <c r="CZ17" s="323">
        <f>CY17*24*DC2</f>
        <v>0</v>
      </c>
      <c r="DA17" s="297">
        <f>CX17</f>
        <v>18.637499999999999</v>
      </c>
      <c r="DB17" s="298">
        <f>CZ17*DA17</f>
        <v>0</v>
      </c>
      <c r="DC17" s="300"/>
      <c r="DD17" s="319">
        <f t="shared" si="6"/>
        <v>2982</v>
      </c>
      <c r="DE17" s="322">
        <f>DD17/183</f>
        <v>16.295081967213115</v>
      </c>
      <c r="DF17" s="322">
        <v>40</v>
      </c>
      <c r="DG17" s="321">
        <f>DE17</f>
        <v>16.295081967213115</v>
      </c>
      <c r="DH17" s="319">
        <f t="shared" si="21"/>
        <v>1</v>
      </c>
      <c r="DI17" s="323">
        <f>DH17*24*DL4</f>
        <v>24</v>
      </c>
      <c r="DJ17" s="297">
        <f>DG17</f>
        <v>16.295081967213115</v>
      </c>
      <c r="DK17" s="298">
        <f>DI17*DJ17</f>
        <v>391.08196721311475</v>
      </c>
      <c r="DL17" s="300"/>
      <c r="DM17" s="301">
        <f>N17+W17+AF17+AO17+AX17+BG17+BP17+BY17+CH17+CQ17+CZ17+DI17</f>
        <v>264</v>
      </c>
      <c r="DN17" s="301">
        <f t="shared" si="22"/>
        <v>4644.1497390052882</v>
      </c>
      <c r="DO17" s="379"/>
      <c r="DP17" s="378"/>
      <c r="DQ17" s="378"/>
    </row>
    <row r="18" spans="1:121" s="295" customFormat="1">
      <c r="A18" s="317" t="s">
        <v>1740</v>
      </c>
      <c r="B18" s="286">
        <f>1*11*24</f>
        <v>264</v>
      </c>
      <c r="C18" s="318">
        <v>0.35</v>
      </c>
      <c r="D18" s="314">
        <v>1</v>
      </c>
      <c r="E18" s="319">
        <f>D18*24</f>
        <v>24</v>
      </c>
      <c r="F18" s="319"/>
      <c r="G18" s="221"/>
      <c r="H18" s="320">
        <v>1</v>
      </c>
      <c r="I18" s="240">
        <v>2893</v>
      </c>
      <c r="J18" s="321">
        <f>I18/168</f>
        <v>17.220238095238095</v>
      </c>
      <c r="K18" s="322">
        <v>40</v>
      </c>
      <c r="L18" s="321">
        <f>J18</f>
        <v>17.220238095238095</v>
      </c>
      <c r="M18" s="319">
        <f t="shared" si="7"/>
        <v>1</v>
      </c>
      <c r="N18" s="323">
        <f>M18*24*Q4</f>
        <v>48</v>
      </c>
      <c r="O18" s="297">
        <f>L18</f>
        <v>17.220238095238095</v>
      </c>
      <c r="P18" s="298">
        <f>N18*O18</f>
        <v>826.57142857142856</v>
      </c>
      <c r="Q18" s="298"/>
      <c r="R18" s="319">
        <f t="shared" si="8"/>
        <v>2893</v>
      </c>
      <c r="S18" s="322">
        <f>R18/168</f>
        <v>17.220238095238095</v>
      </c>
      <c r="T18" s="322">
        <v>40</v>
      </c>
      <c r="U18" s="321">
        <f>S18*C18</f>
        <v>6.0270833333333327</v>
      </c>
      <c r="V18" s="319">
        <f t="shared" si="9"/>
        <v>1</v>
      </c>
      <c r="W18" s="323">
        <f>V18*8*Z3</f>
        <v>0</v>
      </c>
      <c r="X18" s="297">
        <f>U18</f>
        <v>6.0270833333333327</v>
      </c>
      <c r="Y18" s="298">
        <f>W18*X18</f>
        <v>0</v>
      </c>
      <c r="Z18" s="299"/>
      <c r="AA18" s="319">
        <f t="shared" si="0"/>
        <v>2893</v>
      </c>
      <c r="AB18" s="321">
        <f>AA18/159</f>
        <v>18.19496855345912</v>
      </c>
      <c r="AC18" s="322">
        <v>40</v>
      </c>
      <c r="AD18" s="321">
        <f>AB18</f>
        <v>18.19496855345912</v>
      </c>
      <c r="AE18" s="319">
        <f t="shared" si="10"/>
        <v>1</v>
      </c>
      <c r="AF18" s="323">
        <f>AE18*24*AI4</f>
        <v>24</v>
      </c>
      <c r="AG18" s="297">
        <f>AD18</f>
        <v>18.19496855345912</v>
      </c>
      <c r="AH18" s="298">
        <f>AF18*AG18</f>
        <v>436.67924528301887</v>
      </c>
      <c r="AI18" s="300"/>
      <c r="AJ18" s="319">
        <f t="shared" si="1"/>
        <v>2893</v>
      </c>
      <c r="AK18" s="322">
        <f>AJ18/167</f>
        <v>17.323353293413174</v>
      </c>
      <c r="AL18" s="322">
        <v>40</v>
      </c>
      <c r="AM18" s="321">
        <f>AK18</f>
        <v>17.323353293413174</v>
      </c>
      <c r="AN18" s="319">
        <f t="shared" si="11"/>
        <v>1</v>
      </c>
      <c r="AO18" s="323">
        <f>AN18*24*AR4</f>
        <v>24</v>
      </c>
      <c r="AP18" s="297">
        <f>AM18</f>
        <v>17.323353293413174</v>
      </c>
      <c r="AQ18" s="298">
        <f>AO18*AP18</f>
        <v>415.76047904191614</v>
      </c>
      <c r="AR18" s="300"/>
      <c r="AS18" s="319">
        <f t="shared" si="2"/>
        <v>2893</v>
      </c>
      <c r="AT18" s="322">
        <f>AS18/151</f>
        <v>19.158940397350992</v>
      </c>
      <c r="AU18" s="322">
        <v>40</v>
      </c>
      <c r="AV18" s="321">
        <f>AT18</f>
        <v>19.158940397350992</v>
      </c>
      <c r="AW18" s="319">
        <f t="shared" si="12"/>
        <v>1</v>
      </c>
      <c r="AX18" s="323">
        <f>AW18*24*BA4</f>
        <v>48</v>
      </c>
      <c r="AY18" s="297">
        <f>AV18</f>
        <v>19.158940397350992</v>
      </c>
      <c r="AZ18" s="298">
        <f>AX18*AY18</f>
        <v>919.62913907284769</v>
      </c>
      <c r="BA18" s="300"/>
      <c r="BB18" s="319">
        <f t="shared" si="3"/>
        <v>2893</v>
      </c>
      <c r="BC18" s="321">
        <f>BB18/167</f>
        <v>17.323353293413174</v>
      </c>
      <c r="BD18" s="322">
        <v>40</v>
      </c>
      <c r="BE18" s="321">
        <f>BC18</f>
        <v>17.323353293413174</v>
      </c>
      <c r="BF18" s="319">
        <f t="shared" si="13"/>
        <v>1</v>
      </c>
      <c r="BG18" s="323">
        <f>BF18*24*BJ4</f>
        <v>48</v>
      </c>
      <c r="BH18" s="297">
        <f>BE18</f>
        <v>17.323353293413174</v>
      </c>
      <c r="BI18" s="298">
        <f>BG18*BH18</f>
        <v>831.52095808383228</v>
      </c>
      <c r="BJ18" s="300"/>
      <c r="BK18" s="319">
        <f t="shared" si="14"/>
        <v>2893</v>
      </c>
      <c r="BL18" s="322">
        <f>BK18/184</f>
        <v>15.722826086956522</v>
      </c>
      <c r="BM18" s="322">
        <v>40</v>
      </c>
      <c r="BN18" s="321">
        <f>BL18</f>
        <v>15.722826086956522</v>
      </c>
      <c r="BO18" s="319">
        <f t="shared" si="15"/>
        <v>1</v>
      </c>
      <c r="BP18" s="323">
        <f>BO18*24*BS3</f>
        <v>0</v>
      </c>
      <c r="BQ18" s="297">
        <f>BN18</f>
        <v>15.722826086956522</v>
      </c>
      <c r="BR18" s="298">
        <f>BP18*BQ18</f>
        <v>0</v>
      </c>
      <c r="BS18" s="300"/>
      <c r="BT18" s="319">
        <f>BK18</f>
        <v>2893</v>
      </c>
      <c r="BU18" s="322">
        <f>BT18/160</f>
        <v>18.081250000000001</v>
      </c>
      <c r="BV18" s="322">
        <v>40</v>
      </c>
      <c r="BW18" s="321">
        <f>BU18</f>
        <v>18.081250000000001</v>
      </c>
      <c r="BX18" s="319">
        <f t="shared" si="16"/>
        <v>1</v>
      </c>
      <c r="BY18" s="323">
        <f>BX18*24*CB4</f>
        <v>24</v>
      </c>
      <c r="BZ18" s="297">
        <f>BW18</f>
        <v>18.081250000000001</v>
      </c>
      <c r="CA18" s="298">
        <f>BY18*BZ18</f>
        <v>433.95000000000005</v>
      </c>
      <c r="CB18" s="300"/>
      <c r="CC18" s="319">
        <f t="shared" si="17"/>
        <v>2893</v>
      </c>
      <c r="CD18" s="322">
        <f>CC18/176</f>
        <v>16.4375</v>
      </c>
      <c r="CE18" s="322">
        <v>40</v>
      </c>
      <c r="CF18" s="321">
        <f>CD18</f>
        <v>16.4375</v>
      </c>
      <c r="CG18" s="319">
        <f t="shared" si="18"/>
        <v>1</v>
      </c>
      <c r="CH18" s="323">
        <f>CG18*24*CK3</f>
        <v>0</v>
      </c>
      <c r="CI18" s="297">
        <f>CF18</f>
        <v>16.4375</v>
      </c>
      <c r="CJ18" s="298">
        <f>CH18*CI18</f>
        <v>0</v>
      </c>
      <c r="CK18" s="300"/>
      <c r="CL18" s="319">
        <v>2982</v>
      </c>
      <c r="CM18" s="322">
        <f>CL18/184</f>
        <v>16.206521739130434</v>
      </c>
      <c r="CN18" s="322">
        <v>40</v>
      </c>
      <c r="CO18" s="321">
        <f>CM18</f>
        <v>16.206521739130434</v>
      </c>
      <c r="CP18" s="319">
        <f t="shared" si="19"/>
        <v>1</v>
      </c>
      <c r="CQ18" s="323">
        <f>CP18*24*CT4</f>
        <v>24</v>
      </c>
      <c r="CR18" s="297">
        <f>CO18</f>
        <v>16.206521739130434</v>
      </c>
      <c r="CS18" s="298">
        <f>CQ18*CR18</f>
        <v>388.95652173913038</v>
      </c>
      <c r="CT18" s="300"/>
      <c r="CU18" s="319">
        <f t="shared" si="5"/>
        <v>2982</v>
      </c>
      <c r="CV18" s="322">
        <f>CU18/160</f>
        <v>18.637499999999999</v>
      </c>
      <c r="CW18" s="322">
        <v>40</v>
      </c>
      <c r="CX18" s="321">
        <f>CV18</f>
        <v>18.637499999999999</v>
      </c>
      <c r="CY18" s="319">
        <f t="shared" si="20"/>
        <v>1</v>
      </c>
      <c r="CZ18" s="323">
        <f>CY18*24*DC3</f>
        <v>0</v>
      </c>
      <c r="DA18" s="297">
        <f>CX18</f>
        <v>18.637499999999999</v>
      </c>
      <c r="DB18" s="298">
        <f>CZ18*DA18</f>
        <v>0</v>
      </c>
      <c r="DC18" s="300"/>
      <c r="DD18" s="319">
        <f t="shared" si="6"/>
        <v>2982</v>
      </c>
      <c r="DE18" s="322">
        <f>DD18/183</f>
        <v>16.295081967213115</v>
      </c>
      <c r="DF18" s="322">
        <v>40</v>
      </c>
      <c r="DG18" s="321">
        <f>DE18</f>
        <v>16.295081967213115</v>
      </c>
      <c r="DH18" s="319">
        <f t="shared" si="21"/>
        <v>1</v>
      </c>
      <c r="DI18" s="323">
        <f>DH18*24*DL4</f>
        <v>24</v>
      </c>
      <c r="DJ18" s="297">
        <f>DG18</f>
        <v>16.295081967213115</v>
      </c>
      <c r="DK18" s="298">
        <f>DI18*DJ18</f>
        <v>391.08196721311475</v>
      </c>
      <c r="DL18" s="300"/>
      <c r="DM18" s="301">
        <f>N18+W18+AF18+AO18+AX18+BG18+BP18+BY18+CH18+CQ18+CZ18+DI18</f>
        <v>264</v>
      </c>
      <c r="DN18" s="301">
        <f t="shared" si="22"/>
        <v>4644.1497390052882</v>
      </c>
      <c r="DO18" s="379"/>
      <c r="DP18" s="378"/>
      <c r="DQ18" s="378"/>
    </row>
    <row r="19" spans="1:121" s="295" customFormat="1" ht="19.5">
      <c r="A19" s="317" t="s">
        <v>1711</v>
      </c>
      <c r="B19" s="286"/>
      <c r="C19" s="326"/>
      <c r="D19" s="250">
        <f>SUM(D6:D18)</f>
        <v>29</v>
      </c>
      <c r="E19" s="250">
        <f>SUM(E6:E18)</f>
        <v>696</v>
      </c>
      <c r="F19" s="250"/>
      <c r="G19" s="302"/>
      <c r="H19" s="303"/>
      <c r="I19" s="314"/>
      <c r="J19" s="250"/>
      <c r="K19" s="250"/>
      <c r="L19" s="250"/>
      <c r="M19" s="298">
        <f>SUM(M6:M18)</f>
        <v>29</v>
      </c>
      <c r="N19" s="298">
        <f>SUM(N6:N18)</f>
        <v>1392</v>
      </c>
      <c r="O19" s="298"/>
      <c r="P19" s="298">
        <f>SUM(P6:P18)</f>
        <v>38744.069264069272</v>
      </c>
      <c r="Q19" s="298"/>
      <c r="R19" s="298"/>
      <c r="S19" s="298"/>
      <c r="T19" s="298"/>
      <c r="U19" s="298"/>
      <c r="V19" s="298">
        <f>SUM(V6:V18)</f>
        <v>29</v>
      </c>
      <c r="W19" s="298">
        <f>SUM(W6:W18)</f>
        <v>0</v>
      </c>
      <c r="X19" s="298"/>
      <c r="Y19" s="297">
        <f>SUM(Y6:Y18)</f>
        <v>0</v>
      </c>
      <c r="Z19" s="298"/>
      <c r="AA19" s="298"/>
      <c r="AB19" s="298"/>
      <c r="AC19" s="298"/>
      <c r="AD19" s="298"/>
      <c r="AE19" s="298">
        <f>SUM(AE6:AE18)</f>
        <v>29</v>
      </c>
      <c r="AF19" s="298">
        <f>SUM(AF6:AF18)</f>
        <v>696</v>
      </c>
      <c r="AG19" s="298"/>
      <c r="AH19" s="298">
        <f>SUM(AH6:AH18)</f>
        <v>20381.523156089192</v>
      </c>
      <c r="AI19" s="298"/>
      <c r="AJ19" s="298"/>
      <c r="AK19" s="298"/>
      <c r="AL19" s="298"/>
      <c r="AM19" s="298"/>
      <c r="AN19" s="298">
        <f>SUM(AN6:AN18)</f>
        <v>29</v>
      </c>
      <c r="AO19" s="298">
        <f>SUM(AO6:AO18)</f>
        <v>696</v>
      </c>
      <c r="AP19" s="298"/>
      <c r="AQ19" s="298">
        <f>SUM(AQ6:AQ18)</f>
        <v>19409.109054618042</v>
      </c>
      <c r="AR19" s="298"/>
      <c r="AS19" s="298"/>
      <c r="AT19" s="298"/>
      <c r="AU19" s="298"/>
      <c r="AV19" s="298"/>
      <c r="AW19" s="298">
        <f>SUM(AW6:AW18)</f>
        <v>29</v>
      </c>
      <c r="AX19" s="298">
        <f>SUM(AX6:AX18)</f>
        <v>1392</v>
      </c>
      <c r="AY19" s="298"/>
      <c r="AZ19" s="298">
        <f>SUM(AZ6:AZ18)</f>
        <v>40742.540131182875</v>
      </c>
      <c r="BA19" s="298"/>
      <c r="BB19" s="298"/>
      <c r="BC19" s="298"/>
      <c r="BD19" s="298"/>
      <c r="BE19" s="298"/>
      <c r="BF19" s="298">
        <f>SUM(BF6:BF18)</f>
        <v>29</v>
      </c>
      <c r="BG19" s="298">
        <f>SUM(BG6:BG18)</f>
        <v>1392</v>
      </c>
      <c r="BH19" s="298"/>
      <c r="BI19" s="298">
        <f>SUM(BI6:BI18)</f>
        <v>40358.372625135366</v>
      </c>
      <c r="BJ19" s="298"/>
      <c r="BK19" s="298"/>
      <c r="BL19" s="298"/>
      <c r="BM19" s="298"/>
      <c r="BN19" s="298"/>
      <c r="BO19" s="298">
        <f>SUM(BO6:BO18)</f>
        <v>29</v>
      </c>
      <c r="BP19" s="298">
        <f>SUM(BP6:BP18)</f>
        <v>648</v>
      </c>
      <c r="BQ19" s="298"/>
      <c r="BR19" s="298">
        <f>SUM(BR6:BR18)</f>
        <v>16932.814229249012</v>
      </c>
      <c r="BS19" s="298"/>
      <c r="BT19" s="298"/>
      <c r="BU19" s="298"/>
      <c r="BV19" s="298"/>
      <c r="BW19" s="298"/>
      <c r="BX19" s="298">
        <f>SUM(BX6:BX18)</f>
        <v>29</v>
      </c>
      <c r="BY19" s="298">
        <f>SUM(BY6:BY18)</f>
        <v>696</v>
      </c>
      <c r="BZ19" s="298"/>
      <c r="CA19" s="298">
        <f>SUM(CA6:CA18)</f>
        <v>19316.436363636367</v>
      </c>
      <c r="CB19" s="298"/>
      <c r="CC19" s="298"/>
      <c r="CD19" s="298"/>
      <c r="CE19" s="298"/>
      <c r="CF19" s="298"/>
      <c r="CG19" s="298">
        <f>SUM(CG6:CG18)</f>
        <v>29</v>
      </c>
      <c r="CH19" s="298">
        <f>SUM(CH6:CH18)</f>
        <v>0</v>
      </c>
      <c r="CI19" s="298"/>
      <c r="CJ19" s="298">
        <f>SUM(CJ6:CJ18)</f>
        <v>0</v>
      </c>
      <c r="CK19" s="298"/>
      <c r="CL19" s="298"/>
      <c r="CM19" s="298"/>
      <c r="CN19" s="298"/>
      <c r="CO19" s="298"/>
      <c r="CP19" s="298">
        <f>SUM(CP6:CP18)</f>
        <v>29</v>
      </c>
      <c r="CQ19" s="298">
        <f>SUM(CQ6:CQ18)</f>
        <v>696</v>
      </c>
      <c r="CR19" s="298"/>
      <c r="CS19" s="298">
        <f>SUM(CS6:CS18)</f>
        <v>18231.746470920385</v>
      </c>
      <c r="CT19" s="298"/>
      <c r="CU19" s="298"/>
      <c r="CV19" s="298"/>
      <c r="CW19" s="298"/>
      <c r="CX19" s="298"/>
      <c r="CY19" s="298">
        <f>SUM(CY6:CY18)</f>
        <v>29</v>
      </c>
      <c r="CZ19" s="298">
        <f>SUM(CZ6:CZ18)</f>
        <v>0</v>
      </c>
      <c r="DA19" s="298"/>
      <c r="DB19" s="298">
        <f>SUM(DB6:DB18)</f>
        <v>0</v>
      </c>
      <c r="DC19" s="298"/>
      <c r="DD19" s="319"/>
      <c r="DE19" s="298"/>
      <c r="DF19" s="298"/>
      <c r="DG19" s="298"/>
      <c r="DH19" s="298">
        <f>SUM(DH6:DH18)</f>
        <v>29</v>
      </c>
      <c r="DI19" s="298">
        <f>SUM(DI6:DI18)</f>
        <v>696</v>
      </c>
      <c r="DJ19" s="298"/>
      <c r="DK19" s="298">
        <f>SUM(DK6:DK18)</f>
        <v>18263.587525802781</v>
      </c>
      <c r="DL19" s="298"/>
      <c r="DM19" s="301">
        <f>SUM(DM6:DM18)</f>
        <v>8304</v>
      </c>
      <c r="DN19" s="384">
        <f>SUM(DN6:DN18)</f>
        <v>232380.19882070326</v>
      </c>
      <c r="DO19" s="380">
        <f>[38]ФОП!$AB$14+[38]ФОП!$AB$15</f>
        <v>55566.19</v>
      </c>
      <c r="DP19" s="380">
        <f>DN19-DO19</f>
        <v>176814.00882070325</v>
      </c>
      <c r="DQ19" s="377" t="s">
        <v>1741</v>
      </c>
    </row>
    <row r="20" spans="1:121" s="251" customFormat="1">
      <c r="B20" s="283"/>
      <c r="C20" s="253"/>
      <c r="D20" s="254"/>
      <c r="E20" s="254"/>
      <c r="F20" s="254"/>
      <c r="G20" s="255"/>
      <c r="H20" s="256"/>
      <c r="I20" s="254"/>
      <c r="J20" s="257"/>
      <c r="K20" s="257"/>
      <c r="L20" s="257"/>
      <c r="M20" s="258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60"/>
      <c r="AA20" s="260"/>
      <c r="AB20" s="260"/>
      <c r="AC20" s="260"/>
      <c r="AD20" s="260"/>
      <c r="AE20" s="260"/>
      <c r="AF20" s="259"/>
      <c r="AG20" s="259"/>
      <c r="AH20" s="259"/>
      <c r="AI20" s="260"/>
      <c r="AJ20" s="259"/>
      <c r="AK20" s="259"/>
      <c r="AL20" s="259"/>
      <c r="AM20" s="259"/>
      <c r="AN20" s="259"/>
      <c r="AO20" s="259"/>
      <c r="AP20" s="259"/>
      <c r="AQ20" s="259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52"/>
      <c r="DO20" s="377"/>
      <c r="DP20" s="377"/>
      <c r="DQ20" s="377"/>
    </row>
    <row r="21" spans="1:121" s="251" customFormat="1">
      <c r="B21" s="283"/>
      <c r="C21" s="253"/>
      <c r="D21" s="254"/>
      <c r="E21" s="254"/>
      <c r="F21" s="254"/>
      <c r="G21" s="255"/>
      <c r="H21" s="256"/>
      <c r="I21" s="254"/>
      <c r="J21" s="257"/>
      <c r="K21" s="257"/>
      <c r="L21" s="257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61"/>
      <c r="AH21" s="258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2"/>
      <c r="DO21" s="377"/>
      <c r="DP21" s="377"/>
      <c r="DQ21" s="377"/>
    </row>
    <row r="22" spans="1:121" s="251" customFormat="1">
      <c r="A22" s="262" t="s">
        <v>1742</v>
      </c>
      <c r="B22" s="263">
        <v>1</v>
      </c>
      <c r="C22" s="263">
        <v>2</v>
      </c>
      <c r="D22" s="263">
        <v>3</v>
      </c>
      <c r="E22" s="263">
        <v>4</v>
      </c>
      <c r="F22" s="263">
        <v>5</v>
      </c>
      <c r="G22" s="263">
        <v>6</v>
      </c>
      <c r="H22" s="263">
        <v>7</v>
      </c>
      <c r="I22" s="264">
        <v>8</v>
      </c>
      <c r="J22" s="263">
        <v>9</v>
      </c>
      <c r="K22" s="263">
        <v>10</v>
      </c>
      <c r="L22" s="263">
        <v>11</v>
      </c>
      <c r="M22" s="263">
        <v>12</v>
      </c>
      <c r="N22" s="265" t="s">
        <v>1731</v>
      </c>
      <c r="O22" s="265" t="s">
        <v>1732</v>
      </c>
      <c r="P22" s="265" t="s">
        <v>1733</v>
      </c>
      <c r="Q22" s="265" t="s">
        <v>1734</v>
      </c>
      <c r="R22" s="265" t="s">
        <v>1997</v>
      </c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7"/>
      <c r="AH22" s="266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9"/>
      <c r="DN22" s="269"/>
      <c r="DO22" s="377"/>
      <c r="DP22" s="377"/>
      <c r="DQ22" s="377"/>
    </row>
    <row r="23" spans="1:121" s="251" customFormat="1">
      <c r="A23" s="270" t="s">
        <v>1793</v>
      </c>
      <c r="B23" s="263"/>
      <c r="C23" s="263"/>
      <c r="D23" s="263"/>
      <c r="E23" s="263"/>
      <c r="F23" s="263"/>
      <c r="G23" s="263"/>
      <c r="H23" s="263"/>
      <c r="I23" s="264"/>
      <c r="J23" s="263"/>
      <c r="K23" s="263"/>
      <c r="L23" s="263"/>
      <c r="M23" s="263"/>
      <c r="N23" s="271">
        <f t="shared" ref="N23:N29" si="24">B23+C23+D23</f>
        <v>0</v>
      </c>
      <c r="O23" s="271">
        <f>E23+F23+G23</f>
        <v>0</v>
      </c>
      <c r="P23" s="271">
        <f>H23+I23+J23</f>
        <v>0</v>
      </c>
      <c r="Q23" s="271">
        <f>K23+L23+M23</f>
        <v>0</v>
      </c>
      <c r="R23" s="271">
        <f>SUM(N23:Q23)</f>
        <v>0</v>
      </c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7"/>
      <c r="AH23" s="266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9"/>
      <c r="DN23" s="269"/>
      <c r="DO23" s="377"/>
      <c r="DP23" s="377"/>
      <c r="DQ23" s="377"/>
    </row>
    <row r="24" spans="1:121" s="251" customFormat="1">
      <c r="A24" s="270" t="s">
        <v>1790</v>
      </c>
      <c r="B24" s="263"/>
      <c r="C24" s="263"/>
      <c r="D24" s="263"/>
      <c r="E24" s="263"/>
      <c r="F24" s="263"/>
      <c r="G24" s="263"/>
      <c r="H24" s="263"/>
      <c r="I24" s="264"/>
      <c r="J24" s="263"/>
      <c r="K24" s="263"/>
      <c r="L24" s="263"/>
      <c r="M24" s="263"/>
      <c r="N24" s="271">
        <f t="shared" si="24"/>
        <v>0</v>
      </c>
      <c r="O24" s="271">
        <f t="shared" ref="O24:O29" si="25">E24+F24+G24</f>
        <v>0</v>
      </c>
      <c r="P24" s="271">
        <f t="shared" ref="P24:P29" si="26">H24+I24+J24</f>
        <v>0</v>
      </c>
      <c r="Q24" s="271">
        <f t="shared" ref="Q24:Q29" si="27">K24+L24+M24</f>
        <v>0</v>
      </c>
      <c r="R24" s="271">
        <f t="shared" ref="R24:R29" si="28">SUM(N24:Q24)</f>
        <v>0</v>
      </c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7"/>
      <c r="AH24" s="266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268"/>
      <c r="DH24" s="268"/>
      <c r="DI24" s="268"/>
      <c r="DJ24" s="268"/>
      <c r="DK24" s="268"/>
      <c r="DL24" s="268"/>
      <c r="DM24" s="269"/>
      <c r="DN24" s="269"/>
      <c r="DO24" s="377"/>
      <c r="DP24" s="377"/>
      <c r="DQ24" s="377"/>
    </row>
    <row r="25" spans="1:121" s="251" customFormat="1">
      <c r="A25" s="270" t="s">
        <v>1904</v>
      </c>
      <c r="B25" s="272">
        <f>P6+P7</f>
        <v>8146.7408781694503</v>
      </c>
      <c r="C25" s="272">
        <f>Y6+Y7</f>
        <v>0</v>
      </c>
      <c r="D25" s="272">
        <f>AH6+AH7</f>
        <v>4277.0389610389611</v>
      </c>
      <c r="E25" s="272">
        <f>AQ6+AQ7</f>
        <v>4073.3704390847251</v>
      </c>
      <c r="F25" s="272">
        <f>AZ6+AZ7</f>
        <v>9004.2925495557065</v>
      </c>
      <c r="G25" s="272">
        <f>BI6+BI7</f>
        <v>9004.2925495557065</v>
      </c>
      <c r="H25" s="272">
        <f>BR6+BR7</f>
        <v>3719.1643139469224</v>
      </c>
      <c r="I25" s="273">
        <f>CA6+CA7</f>
        <v>4277.0389610389611</v>
      </c>
      <c r="J25" s="272">
        <f>CJ6+CJ7</f>
        <v>0</v>
      </c>
      <c r="K25" s="272">
        <f>CS6+CS7</f>
        <v>3833.675889328063</v>
      </c>
      <c r="L25" s="272">
        <f>DB6+DB7</f>
        <v>0</v>
      </c>
      <c r="M25" s="272">
        <f>DK6+DK7</f>
        <v>3833.675889328063</v>
      </c>
      <c r="N25" s="271">
        <f t="shared" si="24"/>
        <v>12423.779839208411</v>
      </c>
      <c r="O25" s="271">
        <f>E25+F25+G25</f>
        <v>22081.95553819614</v>
      </c>
      <c r="P25" s="271">
        <f t="shared" si="26"/>
        <v>7996.2032749858836</v>
      </c>
      <c r="Q25" s="271">
        <f t="shared" si="27"/>
        <v>7667.351778656126</v>
      </c>
      <c r="R25" s="271">
        <f t="shared" si="28"/>
        <v>50169.29043104656</v>
      </c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7"/>
      <c r="AH25" s="266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9"/>
      <c r="DN25" s="269"/>
      <c r="DO25" s="377"/>
      <c r="DP25" s="377"/>
      <c r="DQ25" s="377"/>
    </row>
    <row r="26" spans="1:121" s="251" customFormat="1">
      <c r="A26" s="270" t="s">
        <v>1794</v>
      </c>
      <c r="B26" s="272">
        <f>P9+P10</f>
        <v>18214.471243042673</v>
      </c>
      <c r="C26" s="272">
        <f>Y9+Y10</f>
        <v>0</v>
      </c>
      <c r="D26" s="272">
        <f>AH9+AH10</f>
        <v>9562.5974025974028</v>
      </c>
      <c r="E26" s="272">
        <f>AQ9+AQ10</f>
        <v>9107.2356215213367</v>
      </c>
      <c r="F26" s="272">
        <f>AZ9+AZ10</f>
        <v>20131.784005468216</v>
      </c>
      <c r="G26" s="272">
        <f>BI9+BI10</f>
        <v>20131.784005468216</v>
      </c>
      <c r="H26" s="272">
        <f>BR9+BR10</f>
        <v>8315.3020892151326</v>
      </c>
      <c r="I26" s="273">
        <f>CA9+CA10</f>
        <v>9562.5974025974028</v>
      </c>
      <c r="J26" s="272">
        <f>CJ9+CJ10</f>
        <v>0</v>
      </c>
      <c r="K26" s="272">
        <f>CS9+CS10</f>
        <v>8571.157538114061</v>
      </c>
      <c r="L26" s="272">
        <f>DB9+DB10</f>
        <v>0</v>
      </c>
      <c r="M26" s="272">
        <f>DK9+DK10</f>
        <v>8571.157538114061</v>
      </c>
      <c r="N26" s="271">
        <f t="shared" si="24"/>
        <v>27777.068645640076</v>
      </c>
      <c r="O26" s="271">
        <f t="shared" si="25"/>
        <v>49370.80363245777</v>
      </c>
      <c r="P26" s="271">
        <f t="shared" si="26"/>
        <v>17877.899491812535</v>
      </c>
      <c r="Q26" s="271">
        <f t="shared" si="27"/>
        <v>17142.315076228122</v>
      </c>
      <c r="R26" s="271">
        <f t="shared" si="28"/>
        <v>112168.0868461385</v>
      </c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7"/>
      <c r="AH26" s="266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268"/>
      <c r="DB26" s="268"/>
      <c r="DC26" s="268"/>
      <c r="DD26" s="268"/>
      <c r="DE26" s="268"/>
      <c r="DF26" s="268"/>
      <c r="DG26" s="268"/>
      <c r="DH26" s="268"/>
      <c r="DI26" s="268"/>
      <c r="DJ26" s="268"/>
      <c r="DK26" s="268"/>
      <c r="DL26" s="268"/>
      <c r="DM26" s="269"/>
      <c r="DN26" s="269"/>
      <c r="DO26" s="377"/>
      <c r="DP26" s="377"/>
      <c r="DQ26" s="377"/>
    </row>
    <row r="27" spans="1:121" s="251" customFormat="1">
      <c r="A27" s="270" t="s">
        <v>1989</v>
      </c>
      <c r="B27" s="272">
        <f>P12+P13</f>
        <v>8778.8571428571449</v>
      </c>
      <c r="C27" s="272">
        <f>Y12+Y13</f>
        <v>0</v>
      </c>
      <c r="D27" s="272">
        <f>AH12+AH13</f>
        <v>4637.8867924528304</v>
      </c>
      <c r="E27" s="272">
        <f>AQ12+AQ13</f>
        <v>4415.7125748502995</v>
      </c>
      <c r="F27" s="272">
        <f>AZ12+AZ13</f>
        <v>9767.2052980132466</v>
      </c>
      <c r="G27" s="272">
        <f>BI12+BI13</f>
        <v>9559.254153943768</v>
      </c>
      <c r="H27" s="272">
        <f>BR12+BR13</f>
        <v>4007.739130434783</v>
      </c>
      <c r="I27" s="273">
        <f>CA12+CA13</f>
        <v>4608.8999999999996</v>
      </c>
      <c r="J27" s="272">
        <f>CJ12+CJ13</f>
        <v>0</v>
      </c>
      <c r="K27" s="272">
        <f>CS12+CS13</f>
        <v>4131</v>
      </c>
      <c r="L27" s="272">
        <f>DB12+DB13</f>
        <v>0</v>
      </c>
      <c r="M27" s="272">
        <f>DK12+DK13</f>
        <v>4153.5737704918038</v>
      </c>
      <c r="N27" s="271">
        <f t="shared" si="24"/>
        <v>13416.743935309976</v>
      </c>
      <c r="O27" s="271">
        <f t="shared" si="25"/>
        <v>23742.172026807311</v>
      </c>
      <c r="P27" s="271">
        <f t="shared" si="26"/>
        <v>8616.6391304347817</v>
      </c>
      <c r="Q27" s="271">
        <f t="shared" si="27"/>
        <v>8284.5737704918029</v>
      </c>
      <c r="R27" s="271">
        <f t="shared" si="28"/>
        <v>54060.128863043865</v>
      </c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7"/>
      <c r="AH27" s="266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  <c r="DF27" s="268"/>
      <c r="DG27" s="268"/>
      <c r="DH27" s="268"/>
      <c r="DI27" s="268"/>
      <c r="DJ27" s="268"/>
      <c r="DK27" s="268"/>
      <c r="DL27" s="268"/>
      <c r="DM27" s="269"/>
      <c r="DN27" s="269"/>
      <c r="DO27" s="377"/>
      <c r="DP27" s="377"/>
      <c r="DQ27" s="377"/>
    </row>
    <row r="28" spans="1:121" s="251" customFormat="1">
      <c r="A28" s="270" t="s">
        <v>1791</v>
      </c>
      <c r="B28" s="272">
        <f>P15+P17+P18</f>
        <v>3604</v>
      </c>
      <c r="C28" s="272">
        <f>Y15+Y17+Y18</f>
        <v>0</v>
      </c>
      <c r="D28" s="272">
        <f>AH15+AH17+AH18</f>
        <v>1904</v>
      </c>
      <c r="E28" s="272">
        <f>AQ15+AQ17+AQ18</f>
        <v>1812.7904191616765</v>
      </c>
      <c r="F28" s="272">
        <f>AZ15+AZ17+AZ18</f>
        <v>1839.2582781456954</v>
      </c>
      <c r="G28" s="272">
        <f>BI15+BI17+BI18</f>
        <v>1663.0419161676646</v>
      </c>
      <c r="H28" s="272">
        <f>BR15+BR17+BR18</f>
        <v>890.60869565217399</v>
      </c>
      <c r="I28" s="273">
        <f>CA15+CA17+CA18</f>
        <v>867.90000000000009</v>
      </c>
      <c r="J28" s="272">
        <f>CJ15+CJ17+CJ18</f>
        <v>0</v>
      </c>
      <c r="K28" s="272">
        <f>CS15+CS17+CS18</f>
        <v>1695.913043478261</v>
      </c>
      <c r="L28" s="272">
        <f>DB15+DB17+DB18</f>
        <v>0</v>
      </c>
      <c r="M28" s="272">
        <f>DK15+DK17+DK18</f>
        <v>1705.1803278688524</v>
      </c>
      <c r="N28" s="271">
        <f t="shared" si="24"/>
        <v>5508</v>
      </c>
      <c r="O28" s="271">
        <f t="shared" si="25"/>
        <v>5315.0906134750367</v>
      </c>
      <c r="P28" s="271">
        <f t="shared" si="26"/>
        <v>1758.5086956521741</v>
      </c>
      <c r="Q28" s="271">
        <f t="shared" si="27"/>
        <v>3401.0933713471131</v>
      </c>
      <c r="R28" s="271">
        <f t="shared" si="28"/>
        <v>15982.692680474323</v>
      </c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7"/>
      <c r="AH28" s="266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9"/>
      <c r="DN28" s="269"/>
      <c r="DO28" s="377"/>
      <c r="DP28" s="377"/>
      <c r="DQ28" s="377"/>
    </row>
    <row r="29" spans="1:121" s="1093" customFormat="1">
      <c r="A29" s="1091"/>
      <c r="B29" s="1092">
        <f>SUM(B23:B28)</f>
        <v>38744.069264069272</v>
      </c>
      <c r="C29" s="1092">
        <f t="shared" ref="C29:M29" si="29">SUM(C23:C28)</f>
        <v>0</v>
      </c>
      <c r="D29" s="1092">
        <f t="shared" si="29"/>
        <v>20381.523156089195</v>
      </c>
      <c r="E29" s="1092">
        <f t="shared" si="29"/>
        <v>19409.109054618038</v>
      </c>
      <c r="F29" s="1092">
        <f t="shared" si="29"/>
        <v>40742.540131182868</v>
      </c>
      <c r="G29" s="1092">
        <f t="shared" si="29"/>
        <v>40358.372625135351</v>
      </c>
      <c r="H29" s="1092">
        <f t="shared" si="29"/>
        <v>16932.814229249016</v>
      </c>
      <c r="I29" s="1092">
        <f t="shared" si="29"/>
        <v>19316.436363636363</v>
      </c>
      <c r="J29" s="1092">
        <f t="shared" si="29"/>
        <v>0</v>
      </c>
      <c r="K29" s="1092">
        <f t="shared" si="29"/>
        <v>18231.746470920385</v>
      </c>
      <c r="L29" s="1092">
        <f t="shared" si="29"/>
        <v>0</v>
      </c>
      <c r="M29" s="1092">
        <f t="shared" si="29"/>
        <v>18263.587525802781</v>
      </c>
      <c r="N29" s="271">
        <f t="shared" si="24"/>
        <v>59125.592420158471</v>
      </c>
      <c r="O29" s="271">
        <f t="shared" si="25"/>
        <v>100510.02181093626</v>
      </c>
      <c r="P29" s="271">
        <f t="shared" si="26"/>
        <v>36249.250592885379</v>
      </c>
      <c r="Q29" s="271">
        <f t="shared" si="27"/>
        <v>36495.333996723166</v>
      </c>
      <c r="R29" s="271">
        <f t="shared" si="28"/>
        <v>232380.19882070326</v>
      </c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7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9"/>
      <c r="DN29" s="269"/>
      <c r="DO29" s="377"/>
      <c r="DP29" s="377"/>
      <c r="DQ29" s="377"/>
    </row>
    <row r="30" spans="1:121" s="251" customFormat="1">
      <c r="A30" s="274"/>
      <c r="B30" s="263"/>
      <c r="C30" s="275"/>
      <c r="D30" s="276"/>
      <c r="E30" s="276"/>
      <c r="F30" s="276"/>
      <c r="G30" s="277"/>
      <c r="H30" s="278"/>
      <c r="I30" s="225"/>
      <c r="J30" s="279"/>
      <c r="K30" s="279"/>
      <c r="L30" s="279"/>
      <c r="M30" s="276"/>
      <c r="N30" s="271"/>
      <c r="O30" s="271"/>
      <c r="P30" s="271"/>
      <c r="Q30" s="271"/>
      <c r="R30" s="271">
        <f>R29-DN19</f>
        <v>0</v>
      </c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7"/>
      <c r="AH30" s="266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  <c r="DG30" s="268"/>
      <c r="DH30" s="268"/>
      <c r="DI30" s="268"/>
      <c r="DJ30" s="268"/>
      <c r="DK30" s="268"/>
      <c r="DL30" s="268"/>
      <c r="DM30" s="269"/>
      <c r="DN30" s="269"/>
      <c r="DO30" s="377"/>
      <c r="DP30" s="377"/>
      <c r="DQ30" s="377"/>
    </row>
    <row r="32" spans="1:121" s="334" customFormat="1">
      <c r="A32" s="343"/>
      <c r="B32" s="344"/>
      <c r="C32" s="1671" t="s">
        <v>1694</v>
      </c>
      <c r="D32" s="1672"/>
      <c r="E32" s="1672"/>
      <c r="F32" s="1672"/>
      <c r="G32" s="1673"/>
      <c r="H32" s="338"/>
      <c r="I32" s="345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346"/>
      <c r="AH32" s="269"/>
      <c r="DM32" s="269"/>
      <c r="DN32" s="342"/>
      <c r="DO32" s="337"/>
      <c r="DP32" s="337"/>
      <c r="DQ32" s="337"/>
    </row>
    <row r="33" spans="1:121" s="356" customFormat="1" ht="39">
      <c r="A33" s="347" t="s">
        <v>1729</v>
      </c>
      <c r="B33" s="348" t="s">
        <v>1719</v>
      </c>
      <c r="C33" s="349" t="s">
        <v>1720</v>
      </c>
      <c r="D33" s="349" t="s">
        <v>1988</v>
      </c>
      <c r="E33" s="349" t="s">
        <v>1989</v>
      </c>
      <c r="F33" s="349" t="s">
        <v>1721</v>
      </c>
      <c r="G33" s="350" t="s">
        <v>1542</v>
      </c>
      <c r="H33" s="351"/>
      <c r="I33" s="352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353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354"/>
      <c r="BJ33" s="268"/>
      <c r="BK33" s="268"/>
      <c r="BL33" s="268"/>
      <c r="BM33" s="268"/>
      <c r="BN33" s="268"/>
      <c r="BO33" s="268"/>
      <c r="BP33" s="268"/>
      <c r="BQ33" s="268"/>
      <c r="BR33" s="268"/>
      <c r="BS33" s="268"/>
      <c r="BT33" s="268"/>
      <c r="BU33" s="268"/>
      <c r="BV33" s="268"/>
      <c r="BW33" s="268"/>
      <c r="BX33" s="268"/>
      <c r="BY33" s="268"/>
      <c r="BZ33" s="268"/>
      <c r="CA33" s="268"/>
      <c r="CB33" s="268"/>
      <c r="CC33" s="268"/>
      <c r="CD33" s="268"/>
      <c r="CE33" s="268"/>
      <c r="CF33" s="268"/>
      <c r="CG33" s="268"/>
      <c r="CH33" s="268"/>
      <c r="CI33" s="268"/>
      <c r="CJ33" s="268"/>
      <c r="CK33" s="268"/>
      <c r="CL33" s="268"/>
      <c r="CM33" s="268"/>
      <c r="CN33" s="268"/>
      <c r="CO33" s="268"/>
      <c r="CP33" s="268"/>
      <c r="CQ33" s="268"/>
      <c r="CR33" s="268"/>
      <c r="CS33" s="268"/>
      <c r="CT33" s="268"/>
      <c r="CU33" s="268"/>
      <c r="CV33" s="268"/>
      <c r="CW33" s="268"/>
      <c r="CX33" s="268"/>
      <c r="CY33" s="268"/>
      <c r="CZ33" s="268"/>
      <c r="DA33" s="268"/>
      <c r="DB33" s="268"/>
      <c r="DC33" s="268"/>
      <c r="DD33" s="268"/>
      <c r="DE33" s="268"/>
      <c r="DF33" s="268"/>
      <c r="DG33" s="268"/>
      <c r="DH33" s="268"/>
      <c r="DI33" s="268"/>
      <c r="DJ33" s="268"/>
      <c r="DK33" s="268"/>
      <c r="DL33" s="268"/>
      <c r="DM33" s="334"/>
      <c r="DN33" s="355"/>
      <c r="DO33" s="377"/>
      <c r="DP33" s="377"/>
      <c r="DQ33" s="377"/>
    </row>
    <row r="34" spans="1:121" s="362" customFormat="1">
      <c r="A34" s="357" t="s">
        <v>755</v>
      </c>
      <c r="B34" s="358">
        <f ca="1">'ЗВ штат-розп'!A26</f>
        <v>15</v>
      </c>
      <c r="C34" s="359">
        <v>1</v>
      </c>
      <c r="D34" s="359">
        <v>2</v>
      </c>
      <c r="E34" s="359">
        <v>1</v>
      </c>
      <c r="F34" s="359"/>
      <c r="G34" s="350">
        <f t="shared" ref="G34:G44" si="30">C34+D34+E34+F34</f>
        <v>4</v>
      </c>
      <c r="H34" s="360"/>
      <c r="I34" s="361"/>
      <c r="J34" s="353"/>
      <c r="K34" s="353"/>
      <c r="L34" s="353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/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53"/>
      <c r="CZ34" s="353"/>
      <c r="DA34" s="353"/>
      <c r="DB34" s="353"/>
      <c r="DC34" s="353"/>
      <c r="DD34" s="353"/>
      <c r="DE34" s="353"/>
      <c r="DF34" s="353"/>
      <c r="DG34" s="353"/>
      <c r="DH34" s="353"/>
      <c r="DI34" s="353"/>
      <c r="DJ34" s="353"/>
      <c r="DK34" s="353"/>
      <c r="DL34" s="353"/>
      <c r="DM34" s="346"/>
      <c r="DN34" s="346"/>
      <c r="DO34" s="377"/>
      <c r="DP34" s="377"/>
      <c r="DQ34" s="377"/>
    </row>
    <row r="35" spans="1:121" s="362" customFormat="1">
      <c r="A35" s="357" t="s">
        <v>756</v>
      </c>
      <c r="B35" s="358">
        <f ca="1">'ЗВ штат-розп'!A27</f>
        <v>20</v>
      </c>
      <c r="C35" s="359"/>
      <c r="D35" s="359">
        <v>1</v>
      </c>
      <c r="E35" s="359">
        <v>1</v>
      </c>
      <c r="F35" s="359"/>
      <c r="G35" s="350">
        <f t="shared" si="30"/>
        <v>2</v>
      </c>
      <c r="H35" s="360"/>
      <c r="I35" s="361"/>
      <c r="J35" s="353"/>
      <c r="K35" s="353"/>
      <c r="L35" s="353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3"/>
      <c r="BQ35" s="353"/>
      <c r="BR35" s="353"/>
      <c r="BS35" s="353"/>
      <c r="BT35" s="353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  <c r="DH35" s="353"/>
      <c r="DI35" s="353"/>
      <c r="DJ35" s="353"/>
      <c r="DK35" s="353"/>
      <c r="DL35" s="353"/>
      <c r="DM35" s="346"/>
      <c r="DN35" s="346"/>
      <c r="DO35" s="377"/>
      <c r="DP35" s="377"/>
      <c r="DQ35" s="377"/>
    </row>
    <row r="36" spans="1:121" s="362" customFormat="1">
      <c r="A36" s="357" t="s">
        <v>757</v>
      </c>
      <c r="B36" s="358">
        <f ca="1">'ЗВ штат-розп'!A28</f>
        <v>30</v>
      </c>
      <c r="C36" s="359"/>
      <c r="D36" s="359">
        <v>1</v>
      </c>
      <c r="E36" s="359">
        <v>1</v>
      </c>
      <c r="F36" s="359"/>
      <c r="G36" s="350">
        <f t="shared" si="30"/>
        <v>2</v>
      </c>
      <c r="H36" s="360"/>
      <c r="I36" s="361"/>
      <c r="J36" s="353"/>
      <c r="K36" s="353"/>
      <c r="L36" s="353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/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46"/>
      <c r="DN36" s="346"/>
      <c r="DO36" s="377"/>
      <c r="DP36" s="377"/>
      <c r="DQ36" s="377"/>
    </row>
    <row r="37" spans="1:121" s="362" customFormat="1">
      <c r="A37" s="357" t="s">
        <v>758</v>
      </c>
      <c r="B37" s="358">
        <f ca="1">'ЗВ штат-розп'!A29</f>
        <v>30</v>
      </c>
      <c r="C37" s="359"/>
      <c r="D37" s="359">
        <v>1</v>
      </c>
      <c r="E37" s="359">
        <v>1</v>
      </c>
      <c r="F37" s="359"/>
      <c r="G37" s="350">
        <f t="shared" si="30"/>
        <v>2</v>
      </c>
      <c r="H37" s="360"/>
      <c r="I37" s="361"/>
      <c r="J37" s="353"/>
      <c r="K37" s="353"/>
      <c r="L37" s="353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353"/>
      <c r="AX37" s="353"/>
      <c r="AY37" s="353"/>
      <c r="AZ37" s="353"/>
      <c r="BA37" s="353"/>
      <c r="BB37" s="353"/>
      <c r="BC37" s="353"/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3"/>
      <c r="DK37" s="353"/>
      <c r="DL37" s="353"/>
      <c r="DM37" s="346"/>
      <c r="DN37" s="346"/>
      <c r="DO37" s="377"/>
      <c r="DP37" s="377"/>
      <c r="DQ37" s="377"/>
    </row>
    <row r="38" spans="1:121" s="362" customFormat="1">
      <c r="A38" s="357" t="s">
        <v>1722</v>
      </c>
      <c r="B38" s="358">
        <f ca="1">'ЗВ штат-розп'!A30</f>
        <v>10</v>
      </c>
      <c r="C38" s="359"/>
      <c r="D38" s="359">
        <v>1</v>
      </c>
      <c r="E38" s="359">
        <v>1</v>
      </c>
      <c r="F38" s="359"/>
      <c r="G38" s="350">
        <f t="shared" si="30"/>
        <v>2</v>
      </c>
      <c r="H38" s="360"/>
      <c r="I38" s="361"/>
      <c r="J38" s="353"/>
      <c r="K38" s="353"/>
      <c r="L38" s="353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46"/>
      <c r="DN38" s="346"/>
      <c r="DO38" s="377"/>
      <c r="DP38" s="377"/>
      <c r="DQ38" s="377"/>
    </row>
    <row r="39" spans="1:121" s="362" customFormat="1">
      <c r="A39" s="357" t="s">
        <v>759</v>
      </c>
      <c r="B39" s="358">
        <f ca="1">'ЗВ штат-розп'!A31</f>
        <v>40</v>
      </c>
      <c r="C39" s="359">
        <v>1</v>
      </c>
      <c r="D39" s="359">
        <v>1</v>
      </c>
      <c r="E39" s="359">
        <v>1</v>
      </c>
      <c r="F39" s="359"/>
      <c r="G39" s="350">
        <f t="shared" si="30"/>
        <v>3</v>
      </c>
      <c r="H39" s="360"/>
      <c r="I39" s="361"/>
      <c r="J39" s="353"/>
      <c r="K39" s="353"/>
      <c r="L39" s="353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/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46"/>
      <c r="DN39" s="346"/>
      <c r="DO39" s="377"/>
      <c r="DP39" s="377"/>
      <c r="DQ39" s="377"/>
    </row>
    <row r="40" spans="1:121" s="362" customFormat="1">
      <c r="A40" s="357" t="s">
        <v>1723</v>
      </c>
      <c r="B40" s="358"/>
      <c r="C40" s="359"/>
      <c r="D40" s="359">
        <v>1</v>
      </c>
      <c r="E40" s="359">
        <v>1</v>
      </c>
      <c r="F40" s="359"/>
      <c r="G40" s="350">
        <f t="shared" si="30"/>
        <v>2</v>
      </c>
      <c r="H40" s="360"/>
      <c r="I40" s="361"/>
      <c r="J40" s="353"/>
      <c r="K40" s="353"/>
      <c r="L40" s="353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53"/>
      <c r="CZ40" s="353"/>
      <c r="DA40" s="353"/>
      <c r="DB40" s="353"/>
      <c r="DC40" s="353"/>
      <c r="DD40" s="353"/>
      <c r="DE40" s="353"/>
      <c r="DF40" s="353"/>
      <c r="DG40" s="353"/>
      <c r="DH40" s="353"/>
      <c r="DI40" s="353"/>
      <c r="DJ40" s="353"/>
      <c r="DK40" s="353"/>
      <c r="DL40" s="353"/>
      <c r="DM40" s="346"/>
      <c r="DN40" s="346"/>
      <c r="DO40" s="377"/>
      <c r="DP40" s="377"/>
      <c r="DQ40" s="377"/>
    </row>
    <row r="41" spans="1:121" s="362" customFormat="1">
      <c r="A41" s="357" t="s">
        <v>1724</v>
      </c>
      <c r="B41" s="358">
        <f ca="1">'ЗВ штат-розп'!A32</f>
        <v>6</v>
      </c>
      <c r="C41" s="359">
        <v>1</v>
      </c>
      <c r="D41" s="359">
        <v>2</v>
      </c>
      <c r="E41" s="359">
        <v>1</v>
      </c>
      <c r="F41" s="359"/>
      <c r="G41" s="350">
        <f t="shared" si="30"/>
        <v>4</v>
      </c>
      <c r="H41" s="360"/>
      <c r="I41" s="361"/>
      <c r="J41" s="353"/>
      <c r="K41" s="353"/>
      <c r="L41" s="353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353"/>
      <c r="AX41" s="353"/>
      <c r="AY41" s="353"/>
      <c r="AZ41" s="353"/>
      <c r="BA41" s="353"/>
      <c r="BB41" s="353"/>
      <c r="BC41" s="353"/>
      <c r="BD41" s="353"/>
      <c r="BE41" s="353"/>
      <c r="BF41" s="353"/>
      <c r="BG41" s="353"/>
      <c r="BH41" s="353"/>
      <c r="BI41" s="353"/>
      <c r="BJ41" s="353"/>
      <c r="BK41" s="353"/>
      <c r="BL41" s="353"/>
      <c r="BM41" s="353"/>
      <c r="BN41" s="353"/>
      <c r="BO41" s="353"/>
      <c r="BP41" s="353"/>
      <c r="BQ41" s="353"/>
      <c r="BR41" s="353"/>
      <c r="BS41" s="353"/>
      <c r="BT41" s="353"/>
      <c r="BU41" s="353"/>
      <c r="BV41" s="353"/>
      <c r="BW41" s="353"/>
      <c r="BX41" s="353"/>
      <c r="BY41" s="353"/>
      <c r="BZ41" s="353"/>
      <c r="CA41" s="353"/>
      <c r="CB41" s="353"/>
      <c r="CC41" s="353"/>
      <c r="CD41" s="353"/>
      <c r="CE41" s="353"/>
      <c r="CF41" s="353"/>
      <c r="CG41" s="353"/>
      <c r="CH41" s="353"/>
      <c r="CI41" s="353"/>
      <c r="CJ41" s="353"/>
      <c r="CK41" s="353"/>
      <c r="CL41" s="353"/>
      <c r="CM41" s="353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46"/>
      <c r="DN41" s="346"/>
      <c r="DO41" s="377"/>
      <c r="DP41" s="377"/>
      <c r="DQ41" s="377"/>
    </row>
    <row r="42" spans="1:121" s="362" customFormat="1">
      <c r="A42" s="357" t="s">
        <v>1725</v>
      </c>
      <c r="B42" s="358"/>
      <c r="C42" s="359"/>
      <c r="D42" s="359">
        <v>1</v>
      </c>
      <c r="E42" s="359"/>
      <c r="F42" s="359"/>
      <c r="G42" s="350">
        <f t="shared" si="30"/>
        <v>1</v>
      </c>
      <c r="H42" s="360"/>
      <c r="I42" s="361"/>
      <c r="J42" s="353"/>
      <c r="K42" s="353"/>
      <c r="L42" s="353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53"/>
      <c r="CZ42" s="353"/>
      <c r="DA42" s="353"/>
      <c r="DB42" s="353"/>
      <c r="DC42" s="353"/>
      <c r="DD42" s="353"/>
      <c r="DE42" s="353"/>
      <c r="DF42" s="353"/>
      <c r="DG42" s="353"/>
      <c r="DH42" s="353"/>
      <c r="DI42" s="353"/>
      <c r="DJ42" s="353"/>
      <c r="DK42" s="353"/>
      <c r="DL42" s="353"/>
      <c r="DM42" s="346"/>
      <c r="DN42" s="346"/>
      <c r="DO42" s="377"/>
      <c r="DP42" s="377"/>
      <c r="DQ42" s="377"/>
    </row>
    <row r="43" spans="1:121" s="362" customFormat="1">
      <c r="A43" s="357" t="s">
        <v>1726</v>
      </c>
      <c r="B43" s="358"/>
      <c r="C43" s="359">
        <v>1</v>
      </c>
      <c r="D43" s="359">
        <v>1</v>
      </c>
      <c r="E43" s="359">
        <v>1</v>
      </c>
      <c r="F43" s="359"/>
      <c r="G43" s="350">
        <f t="shared" si="30"/>
        <v>3</v>
      </c>
      <c r="H43" s="360"/>
      <c r="I43" s="361"/>
      <c r="J43" s="353"/>
      <c r="K43" s="353"/>
      <c r="L43" s="353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353"/>
      <c r="AX43" s="353"/>
      <c r="AY43" s="353"/>
      <c r="AZ43" s="353"/>
      <c r="BA43" s="353"/>
      <c r="BB43" s="353"/>
      <c r="BC43" s="353"/>
      <c r="BD43" s="353"/>
      <c r="BE43" s="353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/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53"/>
      <c r="CZ43" s="353"/>
      <c r="DA43" s="353"/>
      <c r="DB43" s="353"/>
      <c r="DC43" s="353"/>
      <c r="DD43" s="353"/>
      <c r="DE43" s="353"/>
      <c r="DF43" s="353"/>
      <c r="DG43" s="353"/>
      <c r="DH43" s="353"/>
      <c r="DI43" s="353"/>
      <c r="DJ43" s="353"/>
      <c r="DK43" s="353"/>
      <c r="DL43" s="353"/>
      <c r="DM43" s="346"/>
      <c r="DN43" s="346"/>
      <c r="DO43" s="377"/>
      <c r="DP43" s="377"/>
      <c r="DQ43" s="377"/>
    </row>
    <row r="44" spans="1:121" s="362" customFormat="1">
      <c r="A44" s="357" t="s">
        <v>1727</v>
      </c>
      <c r="B44" s="358"/>
      <c r="C44" s="359"/>
      <c r="D44" s="359"/>
      <c r="E44" s="359"/>
      <c r="F44" s="359">
        <f>3+1</f>
        <v>4</v>
      </c>
      <c r="G44" s="350">
        <f t="shared" si="30"/>
        <v>4</v>
      </c>
      <c r="H44" s="360"/>
      <c r="I44" s="361"/>
      <c r="J44" s="353"/>
      <c r="K44" s="353"/>
      <c r="L44" s="353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353"/>
      <c r="AX44" s="353"/>
      <c r="AY44" s="353"/>
      <c r="AZ44" s="353"/>
      <c r="BA44" s="353"/>
      <c r="BB44" s="353"/>
      <c r="BC44" s="353"/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/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53"/>
      <c r="CZ44" s="353"/>
      <c r="DA44" s="353"/>
      <c r="DB44" s="353"/>
      <c r="DC44" s="353"/>
      <c r="DD44" s="353"/>
      <c r="DE44" s="353"/>
      <c r="DF44" s="353"/>
      <c r="DG44" s="353"/>
      <c r="DH44" s="353"/>
      <c r="DI44" s="353"/>
      <c r="DJ44" s="353"/>
      <c r="DK44" s="353"/>
      <c r="DL44" s="353"/>
      <c r="DM44" s="346"/>
      <c r="DN44" s="346"/>
      <c r="DO44" s="377"/>
      <c r="DP44" s="377"/>
      <c r="DQ44" s="377"/>
    </row>
    <row r="45" spans="1:121" s="252" customFormat="1">
      <c r="A45" s="363"/>
      <c r="B45" s="364">
        <f>SUM(B34:B39)</f>
        <v>145</v>
      </c>
      <c r="C45" s="363">
        <f>SUM(C34:C44)</f>
        <v>4</v>
      </c>
      <c r="D45" s="363">
        <f>SUM(D34:D44)</f>
        <v>12</v>
      </c>
      <c r="E45" s="363">
        <f>SUM(E34:E44)</f>
        <v>9</v>
      </c>
      <c r="F45" s="363">
        <f>SUM(F34:F44)</f>
        <v>4</v>
      </c>
      <c r="G45" s="363">
        <f>SUM(G34:G44)</f>
        <v>29</v>
      </c>
      <c r="H45" s="371"/>
      <c r="I45" s="345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346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  <c r="AZ45" s="269"/>
      <c r="BA45" s="269"/>
      <c r="BB45" s="269"/>
      <c r="BC45" s="269"/>
      <c r="BD45" s="269"/>
      <c r="BE45" s="269"/>
      <c r="BF45" s="269"/>
      <c r="BG45" s="269"/>
      <c r="BH45" s="269"/>
      <c r="BI45" s="269"/>
      <c r="BJ45" s="269"/>
      <c r="BK45" s="269"/>
      <c r="BL45" s="269"/>
      <c r="BM45" s="269"/>
      <c r="BN45" s="269"/>
      <c r="BO45" s="269"/>
      <c r="BP45" s="269"/>
      <c r="BQ45" s="269"/>
      <c r="BR45" s="269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69"/>
      <c r="DN45" s="269"/>
      <c r="DO45" s="337"/>
      <c r="DP45" s="337"/>
      <c r="DQ45" s="337"/>
    </row>
    <row r="46" spans="1:121" s="186" customFormat="1">
      <c r="B46" s="374"/>
      <c r="C46" s="374">
        <f>C45-D6-D7</f>
        <v>0</v>
      </c>
      <c r="D46" s="374">
        <f>D45-D9-D10</f>
        <v>0</v>
      </c>
      <c r="E46" s="374">
        <f>E45-D12-D13</f>
        <v>0</v>
      </c>
      <c r="F46" s="374">
        <f>F45-D15-D17-D18</f>
        <v>0</v>
      </c>
      <c r="G46" s="375">
        <f>G45-D19</f>
        <v>0</v>
      </c>
      <c r="H46" s="376"/>
      <c r="DO46" s="381"/>
      <c r="DP46" s="381"/>
      <c r="DQ46" s="381"/>
    </row>
    <row r="47" spans="1:121" s="214" customFormat="1">
      <c r="A47" s="674" t="s">
        <v>763</v>
      </c>
      <c r="B47" s="206"/>
      <c r="C47" s="207"/>
      <c r="D47" s="208"/>
      <c r="E47" s="208"/>
      <c r="F47" s="208"/>
      <c r="G47" s="206"/>
      <c r="H47" s="209"/>
      <c r="I47" s="327"/>
      <c r="J47" s="208"/>
      <c r="K47" s="208"/>
      <c r="L47" s="208"/>
      <c r="M47" s="208"/>
      <c r="N47" s="20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9"/>
      <c r="AH47" s="328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330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0"/>
      <c r="CC47" s="330"/>
      <c r="CD47" s="330"/>
      <c r="CE47" s="330"/>
      <c r="CF47" s="330"/>
      <c r="CG47" s="330"/>
      <c r="CH47" s="330"/>
      <c r="CI47" s="330"/>
      <c r="CJ47" s="330"/>
      <c r="CK47" s="330"/>
      <c r="CL47" s="330"/>
      <c r="CM47" s="330"/>
      <c r="CN47" s="330"/>
      <c r="CO47" s="330"/>
      <c r="CP47" s="330"/>
      <c r="CQ47" s="330"/>
      <c r="CR47" s="330"/>
      <c r="CS47" s="330"/>
      <c r="CT47" s="330"/>
      <c r="CU47" s="330"/>
      <c r="CV47" s="330"/>
      <c r="CW47" s="330"/>
      <c r="CX47" s="330"/>
      <c r="CY47" s="330"/>
      <c r="CZ47" s="330"/>
      <c r="DA47" s="330"/>
      <c r="DB47" s="330"/>
      <c r="DC47" s="330"/>
      <c r="DD47" s="330"/>
      <c r="DE47" s="330"/>
      <c r="DF47" s="330"/>
      <c r="DG47" s="330"/>
      <c r="DH47" s="330"/>
      <c r="DI47" s="330"/>
      <c r="DJ47" s="330"/>
      <c r="DK47" s="330"/>
      <c r="DL47" s="330"/>
      <c r="DM47" s="331"/>
      <c r="DN47" s="331"/>
      <c r="DO47" s="377"/>
      <c r="DP47" s="377"/>
      <c r="DQ47" s="377"/>
    </row>
    <row r="48" spans="1:121" s="214" customFormat="1">
      <c r="A48" s="206"/>
      <c r="B48" s="206"/>
      <c r="C48" s="207"/>
      <c r="D48" s="208"/>
      <c r="E48" s="208"/>
      <c r="F48" s="208"/>
      <c r="G48" s="206"/>
      <c r="H48" s="209"/>
      <c r="I48" s="327"/>
      <c r="J48" s="208"/>
      <c r="K48" s="208"/>
      <c r="L48" s="208"/>
      <c r="M48" s="208"/>
      <c r="N48" s="20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9"/>
      <c r="AH48" s="328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330"/>
      <c r="BR48" s="330"/>
      <c r="BS48" s="330"/>
      <c r="BT48" s="330"/>
      <c r="BU48" s="330"/>
      <c r="BV48" s="330"/>
      <c r="BW48" s="330"/>
      <c r="BX48" s="330"/>
      <c r="BY48" s="330"/>
      <c r="BZ48" s="330"/>
      <c r="CA48" s="330"/>
      <c r="CB48" s="330"/>
      <c r="CC48" s="330"/>
      <c r="CD48" s="330"/>
      <c r="CE48" s="330"/>
      <c r="CF48" s="330"/>
      <c r="CG48" s="330"/>
      <c r="CH48" s="330"/>
      <c r="CI48" s="330"/>
      <c r="CJ48" s="330"/>
      <c r="CK48" s="330"/>
      <c r="CL48" s="330"/>
      <c r="CM48" s="330"/>
      <c r="CN48" s="330"/>
      <c r="CO48" s="330"/>
      <c r="CP48" s="330"/>
      <c r="CQ48" s="330"/>
      <c r="CR48" s="330"/>
      <c r="CS48" s="330"/>
      <c r="CT48" s="330"/>
      <c r="CU48" s="330"/>
      <c r="CV48" s="330"/>
      <c r="CW48" s="330"/>
      <c r="CX48" s="330"/>
      <c r="CY48" s="330"/>
      <c r="CZ48" s="330"/>
      <c r="DA48" s="330"/>
      <c r="DB48" s="330"/>
      <c r="DC48" s="330"/>
      <c r="DD48" s="330"/>
      <c r="DE48" s="330"/>
      <c r="DF48" s="330"/>
      <c r="DG48" s="330"/>
      <c r="DH48" s="330"/>
      <c r="DI48" s="330"/>
      <c r="DJ48" s="330"/>
      <c r="DK48" s="330"/>
      <c r="DL48" s="330"/>
      <c r="DM48" s="331"/>
      <c r="DN48" s="331"/>
      <c r="DO48" s="377"/>
      <c r="DP48" s="377"/>
      <c r="DQ48" s="377"/>
    </row>
    <row r="49" spans="1:121" s="216" customFormat="1" ht="27">
      <c r="A49" s="215"/>
      <c r="B49" s="215"/>
      <c r="C49" s="217"/>
      <c r="D49" s="221" t="s">
        <v>1694</v>
      </c>
      <c r="E49" s="221" t="s">
        <v>1695</v>
      </c>
      <c r="F49" s="221" t="s">
        <v>1943</v>
      </c>
      <c r="G49" s="238" t="s">
        <v>1696</v>
      </c>
      <c r="H49" s="241" t="s">
        <v>1697</v>
      </c>
      <c r="I49" s="1676" t="s">
        <v>1611</v>
      </c>
      <c r="J49" s="1676"/>
      <c r="K49" s="1676"/>
      <c r="L49" s="1676"/>
      <c r="M49" s="1675"/>
      <c r="N49" s="1675"/>
      <c r="O49" s="1675"/>
      <c r="P49" s="1675"/>
      <c r="Q49" s="1675"/>
      <c r="R49" s="1674" t="s">
        <v>1612</v>
      </c>
      <c r="S49" s="1675"/>
      <c r="T49" s="1675"/>
      <c r="U49" s="1675"/>
      <c r="V49" s="1675"/>
      <c r="W49" s="1675"/>
      <c r="X49" s="1675"/>
      <c r="Y49" s="1675"/>
      <c r="Z49" s="1675"/>
      <c r="AA49" s="1674" t="s">
        <v>1613</v>
      </c>
      <c r="AB49" s="1675"/>
      <c r="AC49" s="1675"/>
      <c r="AD49" s="1675"/>
      <c r="AE49" s="1675"/>
      <c r="AF49" s="1675"/>
      <c r="AG49" s="1675"/>
      <c r="AH49" s="1675"/>
      <c r="AI49" s="1675"/>
      <c r="AJ49" s="1674" t="s">
        <v>1614</v>
      </c>
      <c r="AK49" s="1675"/>
      <c r="AL49" s="1675"/>
      <c r="AM49" s="1675"/>
      <c r="AN49" s="1675"/>
      <c r="AO49" s="1675"/>
      <c r="AP49" s="1675"/>
      <c r="AQ49" s="1675"/>
      <c r="AR49" s="1675"/>
      <c r="AS49" s="1674" t="s">
        <v>1615</v>
      </c>
      <c r="AT49" s="1675"/>
      <c r="AU49" s="1675"/>
      <c r="AV49" s="1675"/>
      <c r="AW49" s="1675"/>
      <c r="AX49" s="1675"/>
      <c r="AY49" s="1675"/>
      <c r="AZ49" s="1675"/>
      <c r="BA49" s="1675"/>
      <c r="BB49" s="1674" t="s">
        <v>1616</v>
      </c>
      <c r="BC49" s="1675"/>
      <c r="BD49" s="1675"/>
      <c r="BE49" s="1675"/>
      <c r="BF49" s="1675"/>
      <c r="BG49" s="1675"/>
      <c r="BH49" s="1675"/>
      <c r="BI49" s="1675"/>
      <c r="BJ49" s="1675"/>
      <c r="BK49" s="1674" t="s">
        <v>1617</v>
      </c>
      <c r="BL49" s="1675"/>
      <c r="BM49" s="1675"/>
      <c r="BN49" s="1675"/>
      <c r="BO49" s="1675"/>
      <c r="BP49" s="1675"/>
      <c r="BQ49" s="1675"/>
      <c r="BR49" s="1675"/>
      <c r="BS49" s="1675"/>
      <c r="BT49" s="1674" t="s">
        <v>1618</v>
      </c>
      <c r="BU49" s="1675"/>
      <c r="BV49" s="1675"/>
      <c r="BW49" s="1675"/>
      <c r="BX49" s="1675"/>
      <c r="BY49" s="1675"/>
      <c r="BZ49" s="1675"/>
      <c r="CA49" s="1675"/>
      <c r="CB49" s="1675"/>
      <c r="CC49" s="1674" t="s">
        <v>1619</v>
      </c>
      <c r="CD49" s="1675"/>
      <c r="CE49" s="1675"/>
      <c r="CF49" s="1675"/>
      <c r="CG49" s="1675"/>
      <c r="CH49" s="1675"/>
      <c r="CI49" s="1675"/>
      <c r="CJ49" s="1675"/>
      <c r="CK49" s="1675"/>
      <c r="CL49" s="1674" t="s">
        <v>1620</v>
      </c>
      <c r="CM49" s="1675"/>
      <c r="CN49" s="1675"/>
      <c r="CO49" s="1675"/>
      <c r="CP49" s="1675"/>
      <c r="CQ49" s="1675"/>
      <c r="CR49" s="1675"/>
      <c r="CS49" s="1675"/>
      <c r="CT49" s="1675"/>
      <c r="CU49" s="1674" t="s">
        <v>1621</v>
      </c>
      <c r="CV49" s="1675"/>
      <c r="CW49" s="1675"/>
      <c r="CX49" s="1675"/>
      <c r="CY49" s="1675"/>
      <c r="CZ49" s="1675"/>
      <c r="DA49" s="1675"/>
      <c r="DB49" s="1675"/>
      <c r="DC49" s="1675"/>
      <c r="DD49" s="1674" t="s">
        <v>1622</v>
      </c>
      <c r="DE49" s="1675"/>
      <c r="DF49" s="1675"/>
      <c r="DG49" s="1675"/>
      <c r="DH49" s="1675"/>
      <c r="DI49" s="1675"/>
      <c r="DJ49" s="1675"/>
      <c r="DK49" s="1675"/>
      <c r="DL49" s="1675"/>
      <c r="DM49" s="221" t="s">
        <v>1698</v>
      </c>
      <c r="DN49" s="221" t="s">
        <v>762</v>
      </c>
      <c r="DO49" s="345"/>
      <c r="DP49" s="345"/>
      <c r="DQ49" s="345"/>
    </row>
    <row r="50" spans="1:121" s="216" customFormat="1" ht="37.5">
      <c r="A50" s="215"/>
      <c r="B50" s="215"/>
      <c r="C50" s="217"/>
      <c r="D50" s="218"/>
      <c r="E50" s="218"/>
      <c r="F50" s="218"/>
      <c r="G50" s="219"/>
      <c r="H50" s="220"/>
      <c r="I50" s="238" t="s">
        <v>1699</v>
      </c>
      <c r="J50" s="238" t="s">
        <v>1700</v>
      </c>
      <c r="K50" s="238" t="s">
        <v>1701</v>
      </c>
      <c r="L50" s="238" t="s">
        <v>1702</v>
      </c>
      <c r="M50" s="221" t="s">
        <v>1703</v>
      </c>
      <c r="N50" s="221" t="s">
        <v>1704</v>
      </c>
      <c r="O50" s="221" t="s">
        <v>1699</v>
      </c>
      <c r="P50" s="221" t="s">
        <v>1705</v>
      </c>
      <c r="Q50" s="221"/>
      <c r="R50" s="238" t="s">
        <v>1699</v>
      </c>
      <c r="S50" s="238" t="s">
        <v>1700</v>
      </c>
      <c r="T50" s="238" t="s">
        <v>1701</v>
      </c>
      <c r="U50" s="238" t="s">
        <v>1702</v>
      </c>
      <c r="V50" s="221" t="s">
        <v>1703</v>
      </c>
      <c r="W50" s="221" t="s">
        <v>1704</v>
      </c>
      <c r="X50" s="221" t="s">
        <v>1699</v>
      </c>
      <c r="Y50" s="221" t="s">
        <v>1705</v>
      </c>
      <c r="Z50" s="221"/>
      <c r="AA50" s="238" t="s">
        <v>1699</v>
      </c>
      <c r="AB50" s="238" t="s">
        <v>1700</v>
      </c>
      <c r="AC50" s="238" t="s">
        <v>1701</v>
      </c>
      <c r="AD50" s="238" t="s">
        <v>1702</v>
      </c>
      <c r="AE50" s="221" t="s">
        <v>1703</v>
      </c>
      <c r="AF50" s="221" t="s">
        <v>1704</v>
      </c>
      <c r="AG50" s="221" t="s">
        <v>1699</v>
      </c>
      <c r="AH50" s="221" t="s">
        <v>1705</v>
      </c>
      <c r="AI50" s="221"/>
      <c r="AJ50" s="238" t="s">
        <v>1699</v>
      </c>
      <c r="AK50" s="238" t="s">
        <v>1700</v>
      </c>
      <c r="AL50" s="238" t="s">
        <v>1701</v>
      </c>
      <c r="AM50" s="238" t="s">
        <v>1702</v>
      </c>
      <c r="AN50" s="221" t="s">
        <v>1703</v>
      </c>
      <c r="AO50" s="221" t="s">
        <v>1704</v>
      </c>
      <c r="AP50" s="221" t="s">
        <v>1699</v>
      </c>
      <c r="AQ50" s="221" t="s">
        <v>1705</v>
      </c>
      <c r="AR50" s="221"/>
      <c r="AS50" s="238" t="s">
        <v>1699</v>
      </c>
      <c r="AT50" s="238" t="s">
        <v>1700</v>
      </c>
      <c r="AU50" s="238" t="s">
        <v>1701</v>
      </c>
      <c r="AV50" s="238" t="s">
        <v>1702</v>
      </c>
      <c r="AW50" s="221" t="s">
        <v>1703</v>
      </c>
      <c r="AX50" s="221" t="s">
        <v>1704</v>
      </c>
      <c r="AY50" s="221" t="s">
        <v>1699</v>
      </c>
      <c r="AZ50" s="221" t="s">
        <v>1705</v>
      </c>
      <c r="BA50" s="221"/>
      <c r="BB50" s="238" t="s">
        <v>1699</v>
      </c>
      <c r="BC50" s="238" t="s">
        <v>1700</v>
      </c>
      <c r="BD50" s="238" t="s">
        <v>1701</v>
      </c>
      <c r="BE50" s="238" t="s">
        <v>1702</v>
      </c>
      <c r="BF50" s="221" t="s">
        <v>1703</v>
      </c>
      <c r="BG50" s="221" t="s">
        <v>1704</v>
      </c>
      <c r="BH50" s="221" t="s">
        <v>1699</v>
      </c>
      <c r="BI50" s="221" t="s">
        <v>1705</v>
      </c>
      <c r="BJ50" s="221"/>
      <c r="BK50" s="238" t="s">
        <v>1699</v>
      </c>
      <c r="BL50" s="238" t="s">
        <v>1700</v>
      </c>
      <c r="BM50" s="238" t="s">
        <v>1701</v>
      </c>
      <c r="BN50" s="238" t="s">
        <v>1702</v>
      </c>
      <c r="BO50" s="221" t="s">
        <v>1703</v>
      </c>
      <c r="BP50" s="221" t="s">
        <v>1704</v>
      </c>
      <c r="BQ50" s="221" t="s">
        <v>1699</v>
      </c>
      <c r="BR50" s="221" t="s">
        <v>1705</v>
      </c>
      <c r="BS50" s="221"/>
      <c r="BT50" s="238" t="s">
        <v>1699</v>
      </c>
      <c r="BU50" s="238" t="s">
        <v>1700</v>
      </c>
      <c r="BV50" s="238" t="s">
        <v>1701</v>
      </c>
      <c r="BW50" s="238" t="s">
        <v>1702</v>
      </c>
      <c r="BX50" s="221" t="s">
        <v>1703</v>
      </c>
      <c r="BY50" s="221" t="s">
        <v>1704</v>
      </c>
      <c r="BZ50" s="221" t="s">
        <v>1699</v>
      </c>
      <c r="CA50" s="221" t="s">
        <v>1705</v>
      </c>
      <c r="CB50" s="221"/>
      <c r="CC50" s="238" t="s">
        <v>1699</v>
      </c>
      <c r="CD50" s="238" t="s">
        <v>1700</v>
      </c>
      <c r="CE50" s="238" t="s">
        <v>1701</v>
      </c>
      <c r="CF50" s="238" t="s">
        <v>1702</v>
      </c>
      <c r="CG50" s="221" t="s">
        <v>1703</v>
      </c>
      <c r="CH50" s="221" t="s">
        <v>1704</v>
      </c>
      <c r="CI50" s="221" t="s">
        <v>1699</v>
      </c>
      <c r="CJ50" s="221" t="s">
        <v>1705</v>
      </c>
      <c r="CK50" s="221"/>
      <c r="CL50" s="238" t="s">
        <v>1699</v>
      </c>
      <c r="CM50" s="238" t="s">
        <v>1700</v>
      </c>
      <c r="CN50" s="238" t="s">
        <v>1701</v>
      </c>
      <c r="CO50" s="238" t="s">
        <v>1702</v>
      </c>
      <c r="CP50" s="221" t="s">
        <v>1703</v>
      </c>
      <c r="CQ50" s="221" t="s">
        <v>1704</v>
      </c>
      <c r="CR50" s="221" t="s">
        <v>1699</v>
      </c>
      <c r="CS50" s="221" t="s">
        <v>1705</v>
      </c>
      <c r="CT50" s="221"/>
      <c r="CU50" s="238" t="s">
        <v>1699</v>
      </c>
      <c r="CV50" s="238" t="s">
        <v>1700</v>
      </c>
      <c r="CW50" s="238" t="s">
        <v>1701</v>
      </c>
      <c r="CX50" s="238" t="s">
        <v>1702</v>
      </c>
      <c r="CY50" s="221" t="s">
        <v>1703</v>
      </c>
      <c r="CZ50" s="221" t="s">
        <v>1704</v>
      </c>
      <c r="DA50" s="221" t="s">
        <v>1699</v>
      </c>
      <c r="DB50" s="221" t="s">
        <v>1705</v>
      </c>
      <c r="DC50" s="221"/>
      <c r="DD50" s="238" t="s">
        <v>1699</v>
      </c>
      <c r="DE50" s="238" t="s">
        <v>1700</v>
      </c>
      <c r="DF50" s="238" t="s">
        <v>1701</v>
      </c>
      <c r="DG50" s="238" t="s">
        <v>1702</v>
      </c>
      <c r="DH50" s="221" t="s">
        <v>1703</v>
      </c>
      <c r="DI50" s="221" t="s">
        <v>1704</v>
      </c>
      <c r="DJ50" s="221" t="s">
        <v>1699</v>
      </c>
      <c r="DK50" s="221" t="s">
        <v>1705</v>
      </c>
      <c r="DL50" s="221"/>
      <c r="DM50" s="293"/>
      <c r="DN50" s="293"/>
      <c r="DO50" s="345"/>
      <c r="DP50" s="345"/>
      <c r="DQ50" s="345"/>
    </row>
    <row r="51" spans="1:121" s="228" customFormat="1" ht="20.25">
      <c r="A51" s="222" t="s">
        <v>1706</v>
      </c>
      <c r="B51" s="223"/>
      <c r="C51" s="224"/>
      <c r="D51" s="225"/>
      <c r="E51" s="225"/>
      <c r="F51" s="225"/>
      <c r="G51" s="219"/>
      <c r="H51" s="220"/>
      <c r="I51" s="226"/>
      <c r="J51" s="226"/>
      <c r="K51" s="226"/>
      <c r="L51" s="226"/>
      <c r="M51" s="227"/>
      <c r="N51" s="227"/>
      <c r="O51" s="290"/>
      <c r="P51" s="290"/>
      <c r="Q51" s="290">
        <v>31</v>
      </c>
      <c r="R51" s="226"/>
      <c r="S51" s="226"/>
      <c r="T51" s="226"/>
      <c r="U51" s="226"/>
      <c r="V51" s="290"/>
      <c r="W51" s="290"/>
      <c r="X51" s="290"/>
      <c r="Y51" s="290"/>
      <c r="Z51" s="290">
        <v>28</v>
      </c>
      <c r="AA51" s="226"/>
      <c r="AB51" s="226"/>
      <c r="AC51" s="226"/>
      <c r="AD51" s="226"/>
      <c r="AE51" s="290"/>
      <c r="AF51" s="290"/>
      <c r="AG51" s="292"/>
      <c r="AH51" s="290"/>
      <c r="AI51" s="290">
        <v>31</v>
      </c>
      <c r="AJ51" s="226"/>
      <c r="AK51" s="226"/>
      <c r="AL51" s="226"/>
      <c r="AM51" s="226"/>
      <c r="AN51" s="290"/>
      <c r="AO51" s="290"/>
      <c r="AP51" s="290"/>
      <c r="AQ51" s="290"/>
      <c r="AR51" s="290">
        <v>30</v>
      </c>
      <c r="AS51" s="226"/>
      <c r="AT51" s="226"/>
      <c r="AU51" s="226"/>
      <c r="AV51" s="226"/>
      <c r="AW51" s="290"/>
      <c r="AX51" s="290"/>
      <c r="AY51" s="290"/>
      <c r="AZ51" s="290"/>
      <c r="BA51" s="290">
        <v>31</v>
      </c>
      <c r="BB51" s="226"/>
      <c r="BC51" s="226"/>
      <c r="BD51" s="226"/>
      <c r="BE51" s="226"/>
      <c r="BF51" s="290"/>
      <c r="BG51" s="290"/>
      <c r="BH51" s="290"/>
      <c r="BI51" s="290"/>
      <c r="BJ51" s="290">
        <v>30</v>
      </c>
      <c r="BK51" s="226"/>
      <c r="BL51" s="226"/>
      <c r="BM51" s="226"/>
      <c r="BN51" s="226"/>
      <c r="BO51" s="290"/>
      <c r="BP51" s="290"/>
      <c r="BQ51" s="290"/>
      <c r="BR51" s="290"/>
      <c r="BS51" s="290">
        <v>31</v>
      </c>
      <c r="BT51" s="226"/>
      <c r="BU51" s="226"/>
      <c r="BV51" s="226"/>
      <c r="BW51" s="226"/>
      <c r="BX51" s="290"/>
      <c r="BY51" s="290"/>
      <c r="BZ51" s="290"/>
      <c r="CA51" s="290"/>
      <c r="CB51" s="290">
        <v>31</v>
      </c>
      <c r="CC51" s="226"/>
      <c r="CD51" s="226"/>
      <c r="CE51" s="226"/>
      <c r="CF51" s="226"/>
      <c r="CG51" s="290"/>
      <c r="CH51" s="290"/>
      <c r="CI51" s="290"/>
      <c r="CJ51" s="290"/>
      <c r="CK51" s="290">
        <v>30</v>
      </c>
      <c r="CL51" s="226"/>
      <c r="CM51" s="226"/>
      <c r="CN51" s="226"/>
      <c r="CO51" s="226"/>
      <c r="CP51" s="290"/>
      <c r="CQ51" s="290"/>
      <c r="CR51" s="290"/>
      <c r="CS51" s="290"/>
      <c r="CT51" s="290">
        <v>31</v>
      </c>
      <c r="CU51" s="226"/>
      <c r="CV51" s="226"/>
      <c r="CW51" s="226"/>
      <c r="CX51" s="226"/>
      <c r="CY51" s="290"/>
      <c r="CZ51" s="290"/>
      <c r="DA51" s="290"/>
      <c r="DB51" s="290"/>
      <c r="DC51" s="290">
        <v>30</v>
      </c>
      <c r="DD51" s="226"/>
      <c r="DE51" s="226"/>
      <c r="DF51" s="226"/>
      <c r="DG51" s="226"/>
      <c r="DH51" s="290"/>
      <c r="DI51" s="290"/>
      <c r="DJ51" s="290"/>
      <c r="DK51" s="290"/>
      <c r="DL51" s="290">
        <v>31</v>
      </c>
      <c r="DM51" s="293"/>
      <c r="DN51" s="301">
        <f>SUM(O51:DL51)</f>
        <v>365</v>
      </c>
      <c r="DO51" s="378"/>
      <c r="DP51" s="378"/>
      <c r="DQ51" s="378"/>
    </row>
    <row r="52" spans="1:121" s="228" customFormat="1" ht="18.75">
      <c r="A52" s="229" t="s">
        <v>1904</v>
      </c>
      <c r="B52" s="230"/>
      <c r="C52" s="231"/>
      <c r="D52" s="232"/>
      <c r="E52" s="232"/>
      <c r="F52" s="232"/>
      <c r="G52" s="233"/>
      <c r="H52" s="234"/>
      <c r="I52" s="235"/>
      <c r="J52" s="235"/>
      <c r="K52" s="235"/>
      <c r="L52" s="235"/>
      <c r="M52" s="236"/>
      <c r="N52" s="236"/>
      <c r="O52" s="290"/>
      <c r="P52" s="290"/>
      <c r="Q52" s="290"/>
      <c r="R52" s="235"/>
      <c r="S52" s="235"/>
      <c r="T52" s="235"/>
      <c r="U52" s="235"/>
      <c r="V52" s="290"/>
      <c r="W52" s="290"/>
      <c r="X52" s="290"/>
      <c r="Y52" s="290"/>
      <c r="Z52" s="290"/>
      <c r="AA52" s="235"/>
      <c r="AB52" s="235"/>
      <c r="AC52" s="235"/>
      <c r="AD52" s="235"/>
      <c r="AE52" s="290"/>
      <c r="AF52" s="290"/>
      <c r="AG52" s="292"/>
      <c r="AH52" s="290"/>
      <c r="AI52" s="296"/>
      <c r="AJ52" s="235"/>
      <c r="AK52" s="235"/>
      <c r="AL52" s="235"/>
      <c r="AM52" s="235"/>
      <c r="AN52" s="296"/>
      <c r="AO52" s="296"/>
      <c r="AP52" s="290"/>
      <c r="AQ52" s="290"/>
      <c r="AR52" s="296"/>
      <c r="AS52" s="235"/>
      <c r="AT52" s="235"/>
      <c r="AU52" s="235"/>
      <c r="AV52" s="235"/>
      <c r="AW52" s="296"/>
      <c r="AX52" s="296"/>
      <c r="AY52" s="290"/>
      <c r="AZ52" s="290"/>
      <c r="BA52" s="296"/>
      <c r="BB52" s="235"/>
      <c r="BC52" s="235"/>
      <c r="BD52" s="235"/>
      <c r="BE52" s="235"/>
      <c r="BF52" s="296"/>
      <c r="BG52" s="296"/>
      <c r="BH52" s="290"/>
      <c r="BI52" s="290"/>
      <c r="BJ52" s="296"/>
      <c r="BK52" s="235"/>
      <c r="BL52" s="235"/>
      <c r="BM52" s="235"/>
      <c r="BN52" s="235"/>
      <c r="BO52" s="296"/>
      <c r="BP52" s="296"/>
      <c r="BQ52" s="290"/>
      <c r="BR52" s="290"/>
      <c r="BS52" s="296"/>
      <c r="BT52" s="235"/>
      <c r="BU52" s="235"/>
      <c r="BV52" s="235"/>
      <c r="BW52" s="235"/>
      <c r="BX52" s="296"/>
      <c r="BY52" s="296"/>
      <c r="BZ52" s="290"/>
      <c r="CA52" s="290"/>
      <c r="CB52" s="296"/>
      <c r="CC52" s="235"/>
      <c r="CD52" s="235"/>
      <c r="CE52" s="235"/>
      <c r="CF52" s="235"/>
      <c r="CG52" s="296"/>
      <c r="CH52" s="296"/>
      <c r="CI52" s="290"/>
      <c r="CJ52" s="290"/>
      <c r="CK52" s="296"/>
      <c r="CL52" s="235"/>
      <c r="CM52" s="235"/>
      <c r="CN52" s="235"/>
      <c r="CO52" s="235"/>
      <c r="CP52" s="296"/>
      <c r="CQ52" s="296"/>
      <c r="CR52" s="290"/>
      <c r="CS52" s="290"/>
      <c r="CT52" s="296"/>
      <c r="CU52" s="235"/>
      <c r="CV52" s="235"/>
      <c r="CW52" s="235"/>
      <c r="CX52" s="235"/>
      <c r="CY52" s="296"/>
      <c r="CZ52" s="296"/>
      <c r="DA52" s="290"/>
      <c r="DB52" s="290"/>
      <c r="DC52" s="296"/>
      <c r="DD52" s="235"/>
      <c r="DE52" s="235"/>
      <c r="DF52" s="235"/>
      <c r="DG52" s="235"/>
      <c r="DH52" s="296"/>
      <c r="DI52" s="296"/>
      <c r="DJ52" s="290"/>
      <c r="DK52" s="290"/>
      <c r="DL52" s="296"/>
      <c r="DM52" s="293"/>
      <c r="DN52" s="294"/>
      <c r="DO52" s="378"/>
      <c r="DP52" s="378"/>
      <c r="DQ52" s="378"/>
    </row>
    <row r="53" spans="1:121" s="228" customFormat="1">
      <c r="A53" s="237" t="s">
        <v>1712</v>
      </c>
      <c r="B53" s="281">
        <f>2*365*8</f>
        <v>5840</v>
      </c>
      <c r="C53" s="239">
        <v>0.35</v>
      </c>
      <c r="D53" s="240">
        <v>2</v>
      </c>
      <c r="E53" s="240">
        <f>D53*8</f>
        <v>16</v>
      </c>
      <c r="F53" s="240">
        <v>4456</v>
      </c>
      <c r="G53" s="238"/>
      <c r="H53" s="241">
        <v>12</v>
      </c>
      <c r="I53" s="240">
        <v>6133</v>
      </c>
      <c r="J53" s="242">
        <f>I53/138.6</f>
        <v>44.249639249639252</v>
      </c>
      <c r="K53" s="243">
        <v>33</v>
      </c>
      <c r="L53" s="242">
        <f>J53*C53</f>
        <v>15.487373737373737</v>
      </c>
      <c r="M53" s="240">
        <f>D53</f>
        <v>2</v>
      </c>
      <c r="N53" s="244">
        <f>M53*8*Q51</f>
        <v>496</v>
      </c>
      <c r="O53" s="297">
        <f>L53</f>
        <v>15.487373737373737</v>
      </c>
      <c r="P53" s="298">
        <f>N53*O53</f>
        <v>7681.7373737373737</v>
      </c>
      <c r="Q53" s="298"/>
      <c r="R53" s="245">
        <f t="shared" ref="R53:R64" si="31">I53</f>
        <v>6133</v>
      </c>
      <c r="S53" s="243">
        <f>R53/138.6</f>
        <v>44.249639249639252</v>
      </c>
      <c r="T53" s="243">
        <v>33</v>
      </c>
      <c r="U53" s="242">
        <f>S53*C53</f>
        <v>15.487373737373737</v>
      </c>
      <c r="V53" s="240">
        <f>D53</f>
        <v>2</v>
      </c>
      <c r="W53" s="244">
        <f>V53*8*Z51</f>
        <v>448</v>
      </c>
      <c r="X53" s="297">
        <f>U53</f>
        <v>15.487373737373737</v>
      </c>
      <c r="Y53" s="298">
        <f>W53*X53</f>
        <v>6938.3434343434346</v>
      </c>
      <c r="Z53" s="298"/>
      <c r="AA53" s="245">
        <f t="shared" ref="AA53:AA64" si="32">R53</f>
        <v>6133</v>
      </c>
      <c r="AB53" s="243">
        <f>AA53/132</f>
        <v>46.462121212121211</v>
      </c>
      <c r="AC53" s="243">
        <v>33</v>
      </c>
      <c r="AD53" s="242">
        <f>AB53*C53</f>
        <v>16.261742424242424</v>
      </c>
      <c r="AE53" s="240">
        <f>D53</f>
        <v>2</v>
      </c>
      <c r="AF53" s="244">
        <f>AE53*8*AI51</f>
        <v>496</v>
      </c>
      <c r="AG53" s="297">
        <f>AD53</f>
        <v>16.261742424242424</v>
      </c>
      <c r="AH53" s="298">
        <f>AF53*AG53</f>
        <v>8065.8242424242426</v>
      </c>
      <c r="AI53" s="300"/>
      <c r="AJ53" s="245">
        <f t="shared" ref="AJ53:AJ64" si="33">AA53</f>
        <v>6133</v>
      </c>
      <c r="AK53" s="243">
        <f>AJ53/138.6</f>
        <v>44.249639249639252</v>
      </c>
      <c r="AL53" s="243">
        <v>33</v>
      </c>
      <c r="AM53" s="242">
        <f>AK53*C53</f>
        <v>15.487373737373737</v>
      </c>
      <c r="AN53" s="240">
        <f>D53</f>
        <v>2</v>
      </c>
      <c r="AO53" s="244">
        <f>AN53*8*AR51</f>
        <v>480</v>
      </c>
      <c r="AP53" s="297">
        <f>AM53</f>
        <v>15.487373737373737</v>
      </c>
      <c r="AQ53" s="298">
        <f>AO53*AP53</f>
        <v>7433.939393939394</v>
      </c>
      <c r="AR53" s="300"/>
      <c r="AS53" s="245">
        <f t="shared" ref="AS53:AS64" si="34">AJ53</f>
        <v>6133</v>
      </c>
      <c r="AT53" s="243">
        <f>AS53/125.4</f>
        <v>48.907496012759168</v>
      </c>
      <c r="AU53" s="243">
        <v>33</v>
      </c>
      <c r="AV53" s="242">
        <f>AT53*C53</f>
        <v>17.117623604465706</v>
      </c>
      <c r="AW53" s="240">
        <f>D53</f>
        <v>2</v>
      </c>
      <c r="AX53" s="244">
        <f>AW53*8*BA51</f>
        <v>496</v>
      </c>
      <c r="AY53" s="297">
        <f>AV53</f>
        <v>17.117623604465706</v>
      </c>
      <c r="AZ53" s="298">
        <f>AX53*AY53</f>
        <v>8490.3413078149897</v>
      </c>
      <c r="BA53" s="300"/>
      <c r="BB53" s="245">
        <f t="shared" ref="BB53:BB64" si="35">AS53</f>
        <v>6133</v>
      </c>
      <c r="BC53" s="243">
        <f>BB53/125.4</f>
        <v>48.907496012759168</v>
      </c>
      <c r="BD53" s="243">
        <v>33</v>
      </c>
      <c r="BE53" s="242">
        <f>BC53*C53</f>
        <v>17.117623604465706</v>
      </c>
      <c r="BF53" s="240">
        <f>D53</f>
        <v>2</v>
      </c>
      <c r="BG53" s="244">
        <f>BF53*8*BJ51</f>
        <v>480</v>
      </c>
      <c r="BH53" s="297">
        <f>BE53</f>
        <v>17.117623604465706</v>
      </c>
      <c r="BI53" s="298">
        <f>BG53*BH53</f>
        <v>8216.459330143538</v>
      </c>
      <c r="BJ53" s="300"/>
      <c r="BK53" s="245">
        <f>BB53</f>
        <v>6133</v>
      </c>
      <c r="BL53" s="243">
        <f>BK53/151.8</f>
        <v>40.401844532279313</v>
      </c>
      <c r="BM53" s="243">
        <v>33</v>
      </c>
      <c r="BN53" s="242">
        <f>BL53*C53</f>
        <v>14.140645586297758</v>
      </c>
      <c r="BO53" s="240">
        <f>D53</f>
        <v>2</v>
      </c>
      <c r="BP53" s="244">
        <f>BO53*8*BS51</f>
        <v>496</v>
      </c>
      <c r="BQ53" s="297">
        <f>BN53</f>
        <v>14.140645586297758</v>
      </c>
      <c r="BR53" s="298">
        <f>BP53*BQ53</f>
        <v>7013.7602108036881</v>
      </c>
      <c r="BS53" s="300"/>
      <c r="BT53" s="245">
        <f t="shared" ref="BT53:BT64" si="36">BK53</f>
        <v>6133</v>
      </c>
      <c r="BU53" s="243">
        <f>BT53/132</f>
        <v>46.462121212121211</v>
      </c>
      <c r="BV53" s="243">
        <v>33</v>
      </c>
      <c r="BW53" s="242">
        <f>BU53*C53</f>
        <v>16.261742424242424</v>
      </c>
      <c r="BX53" s="240">
        <f>D53</f>
        <v>2</v>
      </c>
      <c r="BY53" s="244">
        <f>BX53*8*CB51</f>
        <v>496</v>
      </c>
      <c r="BZ53" s="297">
        <f>BW53</f>
        <v>16.261742424242424</v>
      </c>
      <c r="CA53" s="298">
        <f>BY53*BZ53</f>
        <v>8065.8242424242426</v>
      </c>
      <c r="CB53" s="300"/>
      <c r="CC53" s="245">
        <f>BT53</f>
        <v>6133</v>
      </c>
      <c r="CD53" s="243">
        <f>CC53/145.2</f>
        <v>42.23829201101929</v>
      </c>
      <c r="CE53" s="243">
        <v>33</v>
      </c>
      <c r="CF53" s="242">
        <f>CD53*C53</f>
        <v>14.783402203856751</v>
      </c>
      <c r="CG53" s="240">
        <f>D53</f>
        <v>2</v>
      </c>
      <c r="CH53" s="244">
        <f>CG53*8*CK51</f>
        <v>480</v>
      </c>
      <c r="CI53" s="297">
        <f>CF53</f>
        <v>14.783402203856751</v>
      </c>
      <c r="CJ53" s="298">
        <f>CH53*CI53</f>
        <v>7096.0330578512403</v>
      </c>
      <c r="CK53" s="300"/>
      <c r="CL53" s="245">
        <v>6322</v>
      </c>
      <c r="CM53" s="243">
        <f>CL53/151.8</f>
        <v>41.64690382081686</v>
      </c>
      <c r="CN53" s="243">
        <v>33</v>
      </c>
      <c r="CO53" s="242">
        <f>CM53*C53</f>
        <v>14.576416337285901</v>
      </c>
      <c r="CP53" s="240">
        <f>D53</f>
        <v>2</v>
      </c>
      <c r="CQ53" s="244">
        <f>CP53*8*CT51</f>
        <v>496</v>
      </c>
      <c r="CR53" s="297">
        <f>CO53</f>
        <v>14.576416337285901</v>
      </c>
      <c r="CS53" s="298">
        <f>CQ53*CR53</f>
        <v>7229.9025032938071</v>
      </c>
      <c r="CT53" s="300"/>
      <c r="CU53" s="245">
        <f t="shared" ref="CU53:CU64" si="37">CL53</f>
        <v>6322</v>
      </c>
      <c r="CV53" s="243">
        <f>CU53/132</f>
        <v>47.893939393939391</v>
      </c>
      <c r="CW53" s="243">
        <v>33</v>
      </c>
      <c r="CX53" s="242">
        <f>CV53*C53</f>
        <v>16.762878787878787</v>
      </c>
      <c r="CY53" s="240">
        <f>D53</f>
        <v>2</v>
      </c>
      <c r="CZ53" s="244">
        <f>CY53*8*DC51</f>
        <v>480</v>
      </c>
      <c r="DA53" s="297">
        <f>CX53</f>
        <v>16.762878787878787</v>
      </c>
      <c r="DB53" s="298">
        <f>CZ53*DA53</f>
        <v>8046.181818181818</v>
      </c>
      <c r="DC53" s="300"/>
      <c r="DD53" s="245">
        <f t="shared" ref="DD53:DD64" si="38">CU53</f>
        <v>6322</v>
      </c>
      <c r="DE53" s="243">
        <f>DD53/151.8</f>
        <v>41.64690382081686</v>
      </c>
      <c r="DF53" s="243">
        <v>33</v>
      </c>
      <c r="DG53" s="242">
        <f>DE53*C53</f>
        <v>14.576416337285901</v>
      </c>
      <c r="DH53" s="240">
        <f>D53</f>
        <v>2</v>
      </c>
      <c r="DI53" s="244">
        <f>DH53*8*DL51</f>
        <v>496</v>
      </c>
      <c r="DJ53" s="297">
        <f>DG53</f>
        <v>14.576416337285901</v>
      </c>
      <c r="DK53" s="298">
        <f>DI53*DJ53</f>
        <v>7229.9025032938071</v>
      </c>
      <c r="DL53" s="300"/>
      <c r="DM53" s="301">
        <f>N53+W53+AF53+AO53+AX53+BG53+BP53+BY53+CH53+CQ53+CZ53+DI53</f>
        <v>5840</v>
      </c>
      <c r="DN53" s="301">
        <f>P53+Y53+AH53+AQ53+AZ53+BI53+BR53+CA53+CJ53+CS53+DB53+DK53</f>
        <v>91508.24941825158</v>
      </c>
      <c r="DO53" s="378"/>
      <c r="DP53" s="378"/>
      <c r="DQ53" s="378"/>
    </row>
    <row r="54" spans="1:121" s="228" customFormat="1">
      <c r="A54" s="237" t="s">
        <v>1713</v>
      </c>
      <c r="B54" s="281">
        <f>2*365*8</f>
        <v>5840</v>
      </c>
      <c r="C54" s="239">
        <v>0.5</v>
      </c>
      <c r="D54" s="240">
        <f>2</f>
        <v>2</v>
      </c>
      <c r="E54" s="240">
        <f>D54*8</f>
        <v>16</v>
      </c>
      <c r="F54" s="240">
        <v>4772</v>
      </c>
      <c r="G54" s="238"/>
      <c r="H54" s="241">
        <v>13</v>
      </c>
      <c r="I54" s="240">
        <v>6567</v>
      </c>
      <c r="J54" s="242">
        <f>I54/161.7</f>
        <v>40.612244897959187</v>
      </c>
      <c r="K54" s="243">
        <v>38.5</v>
      </c>
      <c r="L54" s="242">
        <f>J54*C54</f>
        <v>20.306122448979593</v>
      </c>
      <c r="M54" s="240">
        <f t="shared" ref="M54:M65" si="39">D54</f>
        <v>2</v>
      </c>
      <c r="N54" s="244">
        <f>M54*8*Q51</f>
        <v>496</v>
      </c>
      <c r="O54" s="297">
        <f>L54</f>
        <v>20.306122448979593</v>
      </c>
      <c r="P54" s="298">
        <f>N54*O54</f>
        <v>10071.836734693878</v>
      </c>
      <c r="Q54" s="298"/>
      <c r="R54" s="245">
        <f t="shared" si="31"/>
        <v>6567</v>
      </c>
      <c r="S54" s="243">
        <f>R54/161.7</f>
        <v>40.612244897959187</v>
      </c>
      <c r="T54" s="243">
        <v>38.5</v>
      </c>
      <c r="U54" s="242">
        <f>S54*C54</f>
        <v>20.306122448979593</v>
      </c>
      <c r="V54" s="240">
        <f t="shared" ref="V54:V65" si="40">D54</f>
        <v>2</v>
      </c>
      <c r="W54" s="244">
        <f>V54*8*Z51</f>
        <v>448</v>
      </c>
      <c r="X54" s="297">
        <f>U54</f>
        <v>20.306122448979593</v>
      </c>
      <c r="Y54" s="298">
        <f>W54*X54</f>
        <v>9097.1428571428587</v>
      </c>
      <c r="Z54" s="298"/>
      <c r="AA54" s="245">
        <f t="shared" si="32"/>
        <v>6567</v>
      </c>
      <c r="AB54" s="243">
        <f>AA54/154</f>
        <v>42.642857142857146</v>
      </c>
      <c r="AC54" s="243">
        <v>38.5</v>
      </c>
      <c r="AD54" s="242">
        <f>AB54*C54</f>
        <v>21.321428571428573</v>
      </c>
      <c r="AE54" s="240">
        <f t="shared" ref="AE54:AE65" si="41">D54</f>
        <v>2</v>
      </c>
      <c r="AF54" s="244">
        <f>AE54*8*AI51</f>
        <v>496</v>
      </c>
      <c r="AG54" s="297">
        <f>AD54</f>
        <v>21.321428571428573</v>
      </c>
      <c r="AH54" s="298">
        <f>AF54*AG54</f>
        <v>10575.428571428572</v>
      </c>
      <c r="AI54" s="300"/>
      <c r="AJ54" s="245">
        <f t="shared" si="33"/>
        <v>6567</v>
      </c>
      <c r="AK54" s="243">
        <f>AJ54/161.7</f>
        <v>40.612244897959187</v>
      </c>
      <c r="AL54" s="243">
        <v>38.5</v>
      </c>
      <c r="AM54" s="242">
        <f>AK54*C54</f>
        <v>20.306122448979593</v>
      </c>
      <c r="AN54" s="240">
        <f t="shared" ref="AN54:AN65" si="42">D54</f>
        <v>2</v>
      </c>
      <c r="AO54" s="244">
        <f>AN54*8*AR51</f>
        <v>480</v>
      </c>
      <c r="AP54" s="297">
        <f>AM54</f>
        <v>20.306122448979593</v>
      </c>
      <c r="AQ54" s="298">
        <f>AO54*AP54</f>
        <v>9746.9387755102052</v>
      </c>
      <c r="AR54" s="300"/>
      <c r="AS54" s="245">
        <f t="shared" si="34"/>
        <v>6567</v>
      </c>
      <c r="AT54" s="243">
        <f>AS54/146.3</f>
        <v>44.887218045112782</v>
      </c>
      <c r="AU54" s="243">
        <v>38.5</v>
      </c>
      <c r="AV54" s="242">
        <f>AT54*C54</f>
        <v>22.443609022556391</v>
      </c>
      <c r="AW54" s="240">
        <f t="shared" ref="AW54:AW65" si="43">D54</f>
        <v>2</v>
      </c>
      <c r="AX54" s="244">
        <f>AW54*8*BA51</f>
        <v>496</v>
      </c>
      <c r="AY54" s="297">
        <f>AV54</f>
        <v>22.443609022556391</v>
      </c>
      <c r="AZ54" s="298">
        <f>AX54*AY54</f>
        <v>11132.030075187969</v>
      </c>
      <c r="BA54" s="300"/>
      <c r="BB54" s="245">
        <f t="shared" si="35"/>
        <v>6567</v>
      </c>
      <c r="BC54" s="243">
        <f>BB54/146.3</f>
        <v>44.887218045112782</v>
      </c>
      <c r="BD54" s="243">
        <v>38.5</v>
      </c>
      <c r="BE54" s="242">
        <f>BC54*C54</f>
        <v>22.443609022556391</v>
      </c>
      <c r="BF54" s="240">
        <f t="shared" ref="BF54:BF65" si="44">D54</f>
        <v>2</v>
      </c>
      <c r="BG54" s="244">
        <f>BF54*8*BJ51</f>
        <v>480</v>
      </c>
      <c r="BH54" s="297">
        <f>BE54</f>
        <v>22.443609022556391</v>
      </c>
      <c r="BI54" s="298">
        <f>BG54*BH54</f>
        <v>10772.932330827067</v>
      </c>
      <c r="BJ54" s="300"/>
      <c r="BK54" s="245">
        <f t="shared" ref="BK54:BK64" si="45">BB54</f>
        <v>6567</v>
      </c>
      <c r="BL54" s="243">
        <f>BK54/177.1</f>
        <v>37.080745341614907</v>
      </c>
      <c r="BM54" s="243">
        <v>38.5</v>
      </c>
      <c r="BN54" s="242">
        <f>BL54*C54</f>
        <v>18.540372670807454</v>
      </c>
      <c r="BO54" s="240">
        <f t="shared" ref="BO54:BO65" si="46">D54</f>
        <v>2</v>
      </c>
      <c r="BP54" s="244">
        <f>BO54*8*BS51</f>
        <v>496</v>
      </c>
      <c r="BQ54" s="297">
        <f>BN54</f>
        <v>18.540372670807454</v>
      </c>
      <c r="BR54" s="298">
        <f>BP54*BQ54</f>
        <v>9196.0248447204976</v>
      </c>
      <c r="BS54" s="300"/>
      <c r="BT54" s="245">
        <f t="shared" si="36"/>
        <v>6567</v>
      </c>
      <c r="BU54" s="243">
        <f>BT54/154</f>
        <v>42.642857142857146</v>
      </c>
      <c r="BV54" s="243">
        <v>38.5</v>
      </c>
      <c r="BW54" s="242">
        <f>BU54*C54</f>
        <v>21.321428571428573</v>
      </c>
      <c r="BX54" s="240">
        <f t="shared" ref="BX54:BX65" si="47">D54</f>
        <v>2</v>
      </c>
      <c r="BY54" s="244">
        <f>BX54*8*CB51</f>
        <v>496</v>
      </c>
      <c r="BZ54" s="297">
        <f>BW54</f>
        <v>21.321428571428573</v>
      </c>
      <c r="CA54" s="298">
        <f>BY54*BZ54</f>
        <v>10575.428571428572</v>
      </c>
      <c r="CB54" s="300"/>
      <c r="CC54" s="245">
        <f t="shared" ref="CC54:CC64" si="48">BT54</f>
        <v>6567</v>
      </c>
      <c r="CD54" s="243">
        <f>CC54/169.4</f>
        <v>38.766233766233768</v>
      </c>
      <c r="CE54" s="243">
        <v>38.5</v>
      </c>
      <c r="CF54" s="242">
        <f>CD54*C54</f>
        <v>19.383116883116884</v>
      </c>
      <c r="CG54" s="240">
        <f t="shared" ref="CG54:CG65" si="49">D54</f>
        <v>2</v>
      </c>
      <c r="CH54" s="244">
        <f>CG54*8*CK51</f>
        <v>480</v>
      </c>
      <c r="CI54" s="297">
        <f>CF54</f>
        <v>19.383116883116884</v>
      </c>
      <c r="CJ54" s="298">
        <f>CH54*CI54</f>
        <v>9303.8961038961043</v>
      </c>
      <c r="CK54" s="300"/>
      <c r="CL54" s="245">
        <v>6769</v>
      </c>
      <c r="CM54" s="243">
        <f>CL54/177.1</f>
        <v>38.221343873517789</v>
      </c>
      <c r="CN54" s="243">
        <v>38.5</v>
      </c>
      <c r="CO54" s="242">
        <f>CM54*C54</f>
        <v>19.110671936758894</v>
      </c>
      <c r="CP54" s="240">
        <f t="shared" ref="CP54:CP65" si="50">D54</f>
        <v>2</v>
      </c>
      <c r="CQ54" s="244">
        <f>CP54*8*CT51</f>
        <v>496</v>
      </c>
      <c r="CR54" s="297">
        <f>CO54</f>
        <v>19.110671936758894</v>
      </c>
      <c r="CS54" s="298">
        <f>CQ54*CR54</f>
        <v>9478.8932806324119</v>
      </c>
      <c r="CT54" s="300"/>
      <c r="CU54" s="245">
        <f t="shared" si="37"/>
        <v>6769</v>
      </c>
      <c r="CV54" s="243">
        <f>CU54/154</f>
        <v>43.954545454545453</v>
      </c>
      <c r="CW54" s="243">
        <v>38.5</v>
      </c>
      <c r="CX54" s="242">
        <f>CV54*C54</f>
        <v>21.977272727272727</v>
      </c>
      <c r="CY54" s="240">
        <f t="shared" ref="CY54:CY65" si="51">D54</f>
        <v>2</v>
      </c>
      <c r="CZ54" s="244">
        <f>CY54*8*DC51</f>
        <v>480</v>
      </c>
      <c r="DA54" s="297">
        <f>CX54</f>
        <v>21.977272727272727</v>
      </c>
      <c r="DB54" s="298">
        <f>CZ54*DA54</f>
        <v>10549.090909090908</v>
      </c>
      <c r="DC54" s="300"/>
      <c r="DD54" s="245">
        <f t="shared" si="38"/>
        <v>6769</v>
      </c>
      <c r="DE54" s="243">
        <f>DD54/177.1</f>
        <v>38.221343873517789</v>
      </c>
      <c r="DF54" s="243">
        <v>38.5</v>
      </c>
      <c r="DG54" s="242">
        <f>DE54*C54</f>
        <v>19.110671936758894</v>
      </c>
      <c r="DH54" s="240">
        <f t="shared" ref="DH54:DH65" si="52">D54</f>
        <v>2</v>
      </c>
      <c r="DI54" s="244">
        <f>DH54*8*DL51</f>
        <v>496</v>
      </c>
      <c r="DJ54" s="297">
        <f>DG54</f>
        <v>19.110671936758894</v>
      </c>
      <c r="DK54" s="298">
        <f>DI54*DJ54</f>
        <v>9478.8932806324119</v>
      </c>
      <c r="DL54" s="300"/>
      <c r="DM54" s="301">
        <f>N54+W54+AF54+AO54+AX54+BG54+BP54+BY54+CH54+CQ54+CZ54+DI54</f>
        <v>5840</v>
      </c>
      <c r="DN54" s="301">
        <f>P54+Y54+AH54+AQ54+AZ54+BI54+BR54+CA54+CJ54+CS54+DB54+DK54</f>
        <v>119978.53633519147</v>
      </c>
      <c r="DO54" s="378"/>
      <c r="DP54" s="378"/>
      <c r="DQ54" s="378"/>
    </row>
    <row r="55" spans="1:121" s="228" customFormat="1">
      <c r="A55" s="229" t="s">
        <v>1707</v>
      </c>
      <c r="B55" s="230"/>
      <c r="C55" s="231"/>
      <c r="D55" s="232"/>
      <c r="E55" s="232"/>
      <c r="F55" s="240">
        <f>C55</f>
        <v>0</v>
      </c>
      <c r="G55" s="233"/>
      <c r="H55" s="234"/>
      <c r="I55" s="240">
        <f>F55</f>
        <v>0</v>
      </c>
      <c r="J55" s="246"/>
      <c r="K55" s="235"/>
      <c r="L55" s="242"/>
      <c r="M55" s="240">
        <f t="shared" si="39"/>
        <v>0</v>
      </c>
      <c r="N55" s="247"/>
      <c r="O55" s="297"/>
      <c r="P55" s="298"/>
      <c r="Q55" s="298"/>
      <c r="R55" s="245">
        <f t="shared" si="31"/>
        <v>0</v>
      </c>
      <c r="S55" s="235"/>
      <c r="T55" s="235"/>
      <c r="U55" s="242"/>
      <c r="V55" s="240">
        <f t="shared" si="40"/>
        <v>0</v>
      </c>
      <c r="W55" s="247"/>
      <c r="X55" s="297"/>
      <c r="Y55" s="298"/>
      <c r="Z55" s="298"/>
      <c r="AA55" s="245">
        <f t="shared" si="32"/>
        <v>0</v>
      </c>
      <c r="AB55" s="235"/>
      <c r="AC55" s="235"/>
      <c r="AD55" s="242"/>
      <c r="AE55" s="240">
        <f t="shared" si="41"/>
        <v>0</v>
      </c>
      <c r="AF55" s="247"/>
      <c r="AG55" s="297"/>
      <c r="AH55" s="298"/>
      <c r="AI55" s="300"/>
      <c r="AJ55" s="245">
        <f t="shared" si="33"/>
        <v>0</v>
      </c>
      <c r="AK55" s="235"/>
      <c r="AL55" s="235"/>
      <c r="AM55" s="242"/>
      <c r="AN55" s="240">
        <f t="shared" si="42"/>
        <v>0</v>
      </c>
      <c r="AO55" s="247"/>
      <c r="AP55" s="297"/>
      <c r="AQ55" s="298"/>
      <c r="AR55" s="300"/>
      <c r="AS55" s="245">
        <f t="shared" si="34"/>
        <v>0</v>
      </c>
      <c r="AT55" s="235"/>
      <c r="AU55" s="235"/>
      <c r="AV55" s="242"/>
      <c r="AW55" s="240">
        <f t="shared" si="43"/>
        <v>0</v>
      </c>
      <c r="AX55" s="247"/>
      <c r="AY55" s="297"/>
      <c r="AZ55" s="298"/>
      <c r="BA55" s="300"/>
      <c r="BB55" s="245">
        <f t="shared" si="35"/>
        <v>0</v>
      </c>
      <c r="BC55" s="235"/>
      <c r="BD55" s="235"/>
      <c r="BE55" s="242"/>
      <c r="BF55" s="240">
        <f t="shared" si="44"/>
        <v>0</v>
      </c>
      <c r="BG55" s="247"/>
      <c r="BH55" s="297"/>
      <c r="BI55" s="298"/>
      <c r="BJ55" s="300"/>
      <c r="BK55" s="245">
        <f t="shared" si="45"/>
        <v>0</v>
      </c>
      <c r="BL55" s="235"/>
      <c r="BM55" s="235"/>
      <c r="BN55" s="242"/>
      <c r="BO55" s="240">
        <f t="shared" si="46"/>
        <v>0</v>
      </c>
      <c r="BP55" s="247"/>
      <c r="BQ55" s="297"/>
      <c r="BR55" s="298"/>
      <c r="BS55" s="300"/>
      <c r="BT55" s="245">
        <f t="shared" si="36"/>
        <v>0</v>
      </c>
      <c r="BU55" s="235"/>
      <c r="BV55" s="235"/>
      <c r="BW55" s="242"/>
      <c r="BX55" s="240">
        <f t="shared" si="47"/>
        <v>0</v>
      </c>
      <c r="BY55" s="247"/>
      <c r="BZ55" s="297"/>
      <c r="CA55" s="298"/>
      <c r="CB55" s="300"/>
      <c r="CC55" s="245">
        <f t="shared" si="48"/>
        <v>0</v>
      </c>
      <c r="CD55" s="235"/>
      <c r="CE55" s="235"/>
      <c r="CF55" s="242"/>
      <c r="CG55" s="240">
        <f t="shared" si="49"/>
        <v>0</v>
      </c>
      <c r="CH55" s="247"/>
      <c r="CI55" s="297"/>
      <c r="CJ55" s="298"/>
      <c r="CK55" s="300"/>
      <c r="CL55" s="245">
        <f t="shared" ref="CL55:CL63" si="53">CC55</f>
        <v>0</v>
      </c>
      <c r="CM55" s="235"/>
      <c r="CN55" s="235"/>
      <c r="CO55" s="242"/>
      <c r="CP55" s="240">
        <f t="shared" si="50"/>
        <v>0</v>
      </c>
      <c r="CQ55" s="247"/>
      <c r="CR55" s="297"/>
      <c r="CS55" s="298"/>
      <c r="CT55" s="300"/>
      <c r="CU55" s="245">
        <f t="shared" si="37"/>
        <v>0</v>
      </c>
      <c r="CV55" s="235"/>
      <c r="CW55" s="235"/>
      <c r="CX55" s="242"/>
      <c r="CY55" s="240">
        <f t="shared" si="51"/>
        <v>0</v>
      </c>
      <c r="CZ55" s="247"/>
      <c r="DA55" s="297"/>
      <c r="DB55" s="298"/>
      <c r="DC55" s="300"/>
      <c r="DD55" s="245">
        <f t="shared" si="38"/>
        <v>0</v>
      </c>
      <c r="DE55" s="235"/>
      <c r="DF55" s="235"/>
      <c r="DG55" s="242"/>
      <c r="DH55" s="240">
        <f t="shared" si="52"/>
        <v>0</v>
      </c>
      <c r="DI55" s="247"/>
      <c r="DJ55" s="297"/>
      <c r="DK55" s="298"/>
      <c r="DL55" s="300"/>
      <c r="DM55" s="301"/>
      <c r="DN55" s="301"/>
      <c r="DO55" s="378"/>
      <c r="DP55" s="378"/>
      <c r="DQ55" s="378"/>
    </row>
    <row r="56" spans="1:121" s="228" customFormat="1">
      <c r="A56" s="237" t="s">
        <v>1736</v>
      </c>
      <c r="B56" s="281">
        <f>7*365*8</f>
        <v>20440</v>
      </c>
      <c r="C56" s="239">
        <v>0.35</v>
      </c>
      <c r="D56" s="240">
        <v>7</v>
      </c>
      <c r="E56" s="240">
        <f>D56*8</f>
        <v>56</v>
      </c>
      <c r="F56" s="240">
        <v>3636</v>
      </c>
      <c r="G56" s="238"/>
      <c r="H56" s="241">
        <v>9</v>
      </c>
      <c r="I56" s="240">
        <v>5005</v>
      </c>
      <c r="J56" s="242">
        <f>I56/161.7</f>
        <v>30.952380952380956</v>
      </c>
      <c r="K56" s="243">
        <v>38.5</v>
      </c>
      <c r="L56" s="242">
        <f>J56*C56</f>
        <v>10.833333333333334</v>
      </c>
      <c r="M56" s="240">
        <f t="shared" si="39"/>
        <v>7</v>
      </c>
      <c r="N56" s="244">
        <f>M56*8*Q51</f>
        <v>1736</v>
      </c>
      <c r="O56" s="297">
        <f>L56</f>
        <v>10.833333333333334</v>
      </c>
      <c r="P56" s="298">
        <f>N56*O56</f>
        <v>18806.666666666668</v>
      </c>
      <c r="Q56" s="298"/>
      <c r="R56" s="245">
        <f t="shared" si="31"/>
        <v>5005</v>
      </c>
      <c r="S56" s="243">
        <f>R56/161.7</f>
        <v>30.952380952380956</v>
      </c>
      <c r="T56" s="243">
        <v>38.5</v>
      </c>
      <c r="U56" s="242">
        <f>S56*C56</f>
        <v>10.833333333333334</v>
      </c>
      <c r="V56" s="240">
        <f t="shared" si="40"/>
        <v>7</v>
      </c>
      <c r="W56" s="244">
        <f>V56*8*Z51</f>
        <v>1568</v>
      </c>
      <c r="X56" s="297">
        <f>U56</f>
        <v>10.833333333333334</v>
      </c>
      <c r="Y56" s="298">
        <f>W56*X56</f>
        <v>16986.666666666668</v>
      </c>
      <c r="Z56" s="298"/>
      <c r="AA56" s="245">
        <f t="shared" si="32"/>
        <v>5005</v>
      </c>
      <c r="AB56" s="243">
        <f>AA56/154</f>
        <v>32.5</v>
      </c>
      <c r="AC56" s="243">
        <v>38.5</v>
      </c>
      <c r="AD56" s="242">
        <f>AB56*C56</f>
        <v>11.375</v>
      </c>
      <c r="AE56" s="240">
        <f t="shared" si="41"/>
        <v>7</v>
      </c>
      <c r="AF56" s="244">
        <f>AE56*8*AI51</f>
        <v>1736</v>
      </c>
      <c r="AG56" s="297">
        <f>AD56</f>
        <v>11.375</v>
      </c>
      <c r="AH56" s="298">
        <f>AF56*AG56</f>
        <v>19747</v>
      </c>
      <c r="AI56" s="300"/>
      <c r="AJ56" s="245">
        <f t="shared" si="33"/>
        <v>5005</v>
      </c>
      <c r="AK56" s="243">
        <f>AJ56/161.7</f>
        <v>30.952380952380956</v>
      </c>
      <c r="AL56" s="243">
        <v>38.5</v>
      </c>
      <c r="AM56" s="242">
        <f>AK56*C56</f>
        <v>10.833333333333334</v>
      </c>
      <c r="AN56" s="240">
        <f t="shared" si="42"/>
        <v>7</v>
      </c>
      <c r="AO56" s="244">
        <f>AN56*8*AR51</f>
        <v>1680</v>
      </c>
      <c r="AP56" s="297">
        <f>AM56</f>
        <v>10.833333333333334</v>
      </c>
      <c r="AQ56" s="298">
        <f>AO56*AP56</f>
        <v>18200</v>
      </c>
      <c r="AR56" s="300"/>
      <c r="AS56" s="245">
        <f t="shared" si="34"/>
        <v>5005</v>
      </c>
      <c r="AT56" s="243">
        <f>AS56/146.3</f>
        <v>34.210526315789473</v>
      </c>
      <c r="AU56" s="243">
        <v>38.5</v>
      </c>
      <c r="AV56" s="242">
        <f>AT56*C56</f>
        <v>11.973684210526315</v>
      </c>
      <c r="AW56" s="240">
        <f t="shared" si="43"/>
        <v>7</v>
      </c>
      <c r="AX56" s="244">
        <f>AW56*8*BA51</f>
        <v>1736</v>
      </c>
      <c r="AY56" s="297">
        <f>AV56</f>
        <v>11.973684210526315</v>
      </c>
      <c r="AZ56" s="298">
        <f>AX56*AY56</f>
        <v>20786.315789473683</v>
      </c>
      <c r="BA56" s="300"/>
      <c r="BB56" s="245">
        <f t="shared" si="35"/>
        <v>5005</v>
      </c>
      <c r="BC56" s="243">
        <f>BB56/146.3</f>
        <v>34.210526315789473</v>
      </c>
      <c r="BD56" s="243">
        <v>38.5</v>
      </c>
      <c r="BE56" s="242">
        <f>BC56*C56</f>
        <v>11.973684210526315</v>
      </c>
      <c r="BF56" s="240">
        <f t="shared" si="44"/>
        <v>7</v>
      </c>
      <c r="BG56" s="244">
        <f>BF56*8*BJ51</f>
        <v>1680</v>
      </c>
      <c r="BH56" s="297">
        <f>BE56</f>
        <v>11.973684210526315</v>
      </c>
      <c r="BI56" s="298">
        <f>BG56*BH56</f>
        <v>20115.78947368421</v>
      </c>
      <c r="BJ56" s="300"/>
      <c r="BK56" s="245">
        <f t="shared" si="45"/>
        <v>5005</v>
      </c>
      <c r="BL56" s="243">
        <f>BK56/177.1</f>
        <v>28.260869565217391</v>
      </c>
      <c r="BM56" s="243">
        <v>38.5</v>
      </c>
      <c r="BN56" s="242">
        <f>BL56*C56</f>
        <v>9.891304347826086</v>
      </c>
      <c r="BO56" s="240">
        <f t="shared" si="46"/>
        <v>7</v>
      </c>
      <c r="BP56" s="244">
        <f>BO56*8*BS51</f>
        <v>1736</v>
      </c>
      <c r="BQ56" s="297">
        <f>BN56</f>
        <v>9.891304347826086</v>
      </c>
      <c r="BR56" s="298">
        <f>BP56*BQ56</f>
        <v>17171.304347826084</v>
      </c>
      <c r="BS56" s="300"/>
      <c r="BT56" s="245">
        <f t="shared" si="36"/>
        <v>5005</v>
      </c>
      <c r="BU56" s="243">
        <f>BT56/154</f>
        <v>32.5</v>
      </c>
      <c r="BV56" s="243">
        <v>38.5</v>
      </c>
      <c r="BW56" s="242">
        <f>BU56*C56</f>
        <v>11.375</v>
      </c>
      <c r="BX56" s="240">
        <f t="shared" si="47"/>
        <v>7</v>
      </c>
      <c r="BY56" s="244">
        <f>BX56*8*CB51</f>
        <v>1736</v>
      </c>
      <c r="BZ56" s="297">
        <f>BW56</f>
        <v>11.375</v>
      </c>
      <c r="CA56" s="298">
        <f>BY56*BZ56</f>
        <v>19747</v>
      </c>
      <c r="CB56" s="300"/>
      <c r="CC56" s="245">
        <f t="shared" si="48"/>
        <v>5005</v>
      </c>
      <c r="CD56" s="243">
        <f>CC56/169.4</f>
        <v>29.545454545454543</v>
      </c>
      <c r="CE56" s="243">
        <v>38.5</v>
      </c>
      <c r="CF56" s="242">
        <f>CD56*C56</f>
        <v>10.34090909090909</v>
      </c>
      <c r="CG56" s="240">
        <f t="shared" si="49"/>
        <v>7</v>
      </c>
      <c r="CH56" s="244">
        <f>CG56*8*CK51</f>
        <v>1680</v>
      </c>
      <c r="CI56" s="297">
        <f>CF56</f>
        <v>10.34090909090909</v>
      </c>
      <c r="CJ56" s="298">
        <f>CH56*CI56</f>
        <v>17372.727272727272</v>
      </c>
      <c r="CK56" s="300"/>
      <c r="CL56" s="245">
        <v>5159</v>
      </c>
      <c r="CM56" s="243">
        <f>CL56/177.1</f>
        <v>29.130434782608695</v>
      </c>
      <c r="CN56" s="243">
        <v>38.5</v>
      </c>
      <c r="CO56" s="242">
        <f>CM56*C56</f>
        <v>10.195652173913043</v>
      </c>
      <c r="CP56" s="240">
        <f t="shared" si="50"/>
        <v>7</v>
      </c>
      <c r="CQ56" s="244">
        <f>CP56*8*CT51</f>
        <v>1736</v>
      </c>
      <c r="CR56" s="297">
        <f>CO56</f>
        <v>10.195652173913043</v>
      </c>
      <c r="CS56" s="298">
        <f>CQ56*CR56</f>
        <v>17699.652173913044</v>
      </c>
      <c r="CT56" s="300"/>
      <c r="CU56" s="245">
        <f t="shared" si="37"/>
        <v>5159</v>
      </c>
      <c r="CV56" s="243">
        <f>CU56/154</f>
        <v>33.5</v>
      </c>
      <c r="CW56" s="243">
        <v>38.5</v>
      </c>
      <c r="CX56" s="242">
        <f>CV56*C56</f>
        <v>11.725</v>
      </c>
      <c r="CY56" s="240">
        <f t="shared" si="51"/>
        <v>7</v>
      </c>
      <c r="CZ56" s="244">
        <f>CY56*8*DC51</f>
        <v>1680</v>
      </c>
      <c r="DA56" s="297">
        <f>CX56</f>
        <v>11.725</v>
      </c>
      <c r="DB56" s="298">
        <f>CZ56*DA56</f>
        <v>19698</v>
      </c>
      <c r="DC56" s="300"/>
      <c r="DD56" s="245">
        <f t="shared" si="38"/>
        <v>5159</v>
      </c>
      <c r="DE56" s="243">
        <f>DD56/177.1</f>
        <v>29.130434782608695</v>
      </c>
      <c r="DF56" s="243">
        <v>38.5</v>
      </c>
      <c r="DG56" s="242">
        <f>DE56*C56</f>
        <v>10.195652173913043</v>
      </c>
      <c r="DH56" s="240">
        <f t="shared" si="52"/>
        <v>7</v>
      </c>
      <c r="DI56" s="244">
        <f>DH56*8*DL51</f>
        <v>1736</v>
      </c>
      <c r="DJ56" s="297">
        <f>DG56</f>
        <v>10.195652173913043</v>
      </c>
      <c r="DK56" s="298">
        <f>DI56*DJ56</f>
        <v>17699.652173913044</v>
      </c>
      <c r="DL56" s="300"/>
      <c r="DM56" s="301">
        <f>N56+W56+AF56+AO56+AX56+BG56+BP56+BY56+CH56+CQ56+CZ56+DI56</f>
        <v>20440</v>
      </c>
      <c r="DN56" s="301">
        <f>P56+Y56+AH56+AQ56+AZ56+BI56+BR56+CA56+CJ56+CS56+DB56+DK56</f>
        <v>224030.77456487069</v>
      </c>
      <c r="DO56" s="378"/>
      <c r="DP56" s="378"/>
      <c r="DQ56" s="378"/>
    </row>
    <row r="57" spans="1:121" s="228" customFormat="1">
      <c r="A57" s="237" t="s">
        <v>1714</v>
      </c>
      <c r="B57" s="281">
        <f>5*365*8</f>
        <v>14600</v>
      </c>
      <c r="C57" s="239">
        <v>0.5</v>
      </c>
      <c r="D57" s="240">
        <v>5</v>
      </c>
      <c r="E57" s="240">
        <f>D57*8</f>
        <v>40</v>
      </c>
      <c r="F57" s="240">
        <v>3826</v>
      </c>
      <c r="G57" s="238"/>
      <c r="H57" s="241">
        <v>10</v>
      </c>
      <c r="I57" s="240">
        <v>5265</v>
      </c>
      <c r="J57" s="242">
        <f>I57/161.7</f>
        <v>32.560296846011134</v>
      </c>
      <c r="K57" s="243">
        <v>38.5</v>
      </c>
      <c r="L57" s="242">
        <f>J57*C57</f>
        <v>16.280148423005567</v>
      </c>
      <c r="M57" s="240">
        <f t="shared" si="39"/>
        <v>5</v>
      </c>
      <c r="N57" s="244">
        <f>M57*8*Q51</f>
        <v>1240</v>
      </c>
      <c r="O57" s="297">
        <f>L57</f>
        <v>16.280148423005567</v>
      </c>
      <c r="P57" s="298">
        <f>N57*O57</f>
        <v>20187.384044526902</v>
      </c>
      <c r="Q57" s="298"/>
      <c r="R57" s="245">
        <f t="shared" si="31"/>
        <v>5265</v>
      </c>
      <c r="S57" s="243">
        <f>R57/161.7</f>
        <v>32.560296846011134</v>
      </c>
      <c r="T57" s="243">
        <v>38.5</v>
      </c>
      <c r="U57" s="242">
        <f>S57*C57</f>
        <v>16.280148423005567</v>
      </c>
      <c r="V57" s="240">
        <f t="shared" si="40"/>
        <v>5</v>
      </c>
      <c r="W57" s="244">
        <f>V57*8*Z51</f>
        <v>1120</v>
      </c>
      <c r="X57" s="297">
        <f>U57</f>
        <v>16.280148423005567</v>
      </c>
      <c r="Y57" s="298">
        <f>W57*X57</f>
        <v>18233.766233766237</v>
      </c>
      <c r="Z57" s="298"/>
      <c r="AA57" s="245">
        <f t="shared" si="32"/>
        <v>5265</v>
      </c>
      <c r="AB57" s="243">
        <f>AA57/154</f>
        <v>34.188311688311686</v>
      </c>
      <c r="AC57" s="243">
        <v>38.5</v>
      </c>
      <c r="AD57" s="242">
        <f>AB57*C57</f>
        <v>17.094155844155843</v>
      </c>
      <c r="AE57" s="240">
        <f t="shared" si="41"/>
        <v>5</v>
      </c>
      <c r="AF57" s="244">
        <f>AE57*8*AI51</f>
        <v>1240</v>
      </c>
      <c r="AG57" s="297">
        <f>AD57</f>
        <v>17.094155844155843</v>
      </c>
      <c r="AH57" s="298">
        <f>AF57*AG57</f>
        <v>21196.753246753244</v>
      </c>
      <c r="AI57" s="300"/>
      <c r="AJ57" s="245">
        <f t="shared" si="33"/>
        <v>5265</v>
      </c>
      <c r="AK57" s="243">
        <f>AJ57/161.7</f>
        <v>32.560296846011134</v>
      </c>
      <c r="AL57" s="243">
        <v>38.5</v>
      </c>
      <c r="AM57" s="242">
        <f>AK57*C57</f>
        <v>16.280148423005567</v>
      </c>
      <c r="AN57" s="240">
        <f t="shared" si="42"/>
        <v>5</v>
      </c>
      <c r="AO57" s="244">
        <f>AN57*8*AR51</f>
        <v>1200</v>
      </c>
      <c r="AP57" s="297">
        <f>AM57</f>
        <v>16.280148423005567</v>
      </c>
      <c r="AQ57" s="298">
        <f>AO57*AP57</f>
        <v>19536.17810760668</v>
      </c>
      <c r="AR57" s="300"/>
      <c r="AS57" s="245">
        <f t="shared" si="34"/>
        <v>5265</v>
      </c>
      <c r="AT57" s="243">
        <f>AS57/146.3</f>
        <v>35.987696514012299</v>
      </c>
      <c r="AU57" s="243">
        <v>38.5</v>
      </c>
      <c r="AV57" s="242">
        <f>AT57*C57</f>
        <v>17.99384825700615</v>
      </c>
      <c r="AW57" s="240">
        <f t="shared" si="43"/>
        <v>5</v>
      </c>
      <c r="AX57" s="244">
        <f>AW57*8*BA51</f>
        <v>1240</v>
      </c>
      <c r="AY57" s="297">
        <f>AV57</f>
        <v>17.99384825700615</v>
      </c>
      <c r="AZ57" s="298">
        <f>AX57*AY57</f>
        <v>22312.371838687624</v>
      </c>
      <c r="BA57" s="300"/>
      <c r="BB57" s="245">
        <f t="shared" si="35"/>
        <v>5265</v>
      </c>
      <c r="BC57" s="243">
        <f>BB57/146.3</f>
        <v>35.987696514012299</v>
      </c>
      <c r="BD57" s="243">
        <v>38.5</v>
      </c>
      <c r="BE57" s="242">
        <f>BC57*C57</f>
        <v>17.99384825700615</v>
      </c>
      <c r="BF57" s="240">
        <f t="shared" si="44"/>
        <v>5</v>
      </c>
      <c r="BG57" s="244">
        <f>BF57*8*BJ51</f>
        <v>1200</v>
      </c>
      <c r="BH57" s="297">
        <f>BE57</f>
        <v>17.99384825700615</v>
      </c>
      <c r="BI57" s="298">
        <f>BG57*BH57</f>
        <v>21592.617908407381</v>
      </c>
      <c r="BJ57" s="300"/>
      <c r="BK57" s="245">
        <f t="shared" si="45"/>
        <v>5265</v>
      </c>
      <c r="BL57" s="243">
        <f>BK57/177.1</f>
        <v>29.728966685488427</v>
      </c>
      <c r="BM57" s="243">
        <v>38.5</v>
      </c>
      <c r="BN57" s="242">
        <f>BL57*C57</f>
        <v>14.864483342744213</v>
      </c>
      <c r="BO57" s="240">
        <f t="shared" si="46"/>
        <v>5</v>
      </c>
      <c r="BP57" s="244">
        <f>BO57*8*BS51</f>
        <v>1240</v>
      </c>
      <c r="BQ57" s="297">
        <f>BN57</f>
        <v>14.864483342744213</v>
      </c>
      <c r="BR57" s="298">
        <f>BP57*BQ57</f>
        <v>18431.959345002826</v>
      </c>
      <c r="BS57" s="300"/>
      <c r="BT57" s="245">
        <f t="shared" si="36"/>
        <v>5265</v>
      </c>
      <c r="BU57" s="243">
        <f>BT57/154</f>
        <v>34.188311688311686</v>
      </c>
      <c r="BV57" s="243">
        <v>38.5</v>
      </c>
      <c r="BW57" s="242">
        <f>BU57*C57</f>
        <v>17.094155844155843</v>
      </c>
      <c r="BX57" s="240">
        <f t="shared" si="47"/>
        <v>5</v>
      </c>
      <c r="BY57" s="244">
        <f>BX57*8*CB51</f>
        <v>1240</v>
      </c>
      <c r="BZ57" s="297">
        <f>BW57</f>
        <v>17.094155844155843</v>
      </c>
      <c r="CA57" s="298">
        <f>BY57*BZ57</f>
        <v>21196.753246753244</v>
      </c>
      <c r="CB57" s="300"/>
      <c r="CC57" s="245">
        <f t="shared" si="48"/>
        <v>5265</v>
      </c>
      <c r="CD57" s="243">
        <f>CC57/169.4</f>
        <v>31.080283353010625</v>
      </c>
      <c r="CE57" s="243">
        <v>38.5</v>
      </c>
      <c r="CF57" s="242">
        <f>CD57*C57</f>
        <v>15.540141676505312</v>
      </c>
      <c r="CG57" s="240">
        <f t="shared" si="49"/>
        <v>5</v>
      </c>
      <c r="CH57" s="244">
        <f>CG57*8*CK51</f>
        <v>1200</v>
      </c>
      <c r="CI57" s="297">
        <f>CF57</f>
        <v>15.540141676505312</v>
      </c>
      <c r="CJ57" s="298">
        <f>CH57*CI57</f>
        <v>18648.170011806375</v>
      </c>
      <c r="CK57" s="300"/>
      <c r="CL57" s="245">
        <v>5427</v>
      </c>
      <c r="CM57" s="243">
        <f>CL57/177.1</f>
        <v>30.643704121964994</v>
      </c>
      <c r="CN57" s="243">
        <v>38.5</v>
      </c>
      <c r="CO57" s="242">
        <f>CM57*C57</f>
        <v>15.321852060982497</v>
      </c>
      <c r="CP57" s="240">
        <f t="shared" si="50"/>
        <v>5</v>
      </c>
      <c r="CQ57" s="244">
        <f>CP57*8*CT51</f>
        <v>1240</v>
      </c>
      <c r="CR57" s="297">
        <f>CO57</f>
        <v>15.321852060982497</v>
      </c>
      <c r="CS57" s="298">
        <f>CQ57*CR57</f>
        <v>18999.096555618296</v>
      </c>
      <c r="CT57" s="300"/>
      <c r="CU57" s="245">
        <f t="shared" si="37"/>
        <v>5427</v>
      </c>
      <c r="CV57" s="243">
        <f>CU57/154</f>
        <v>35.240259740259738</v>
      </c>
      <c r="CW57" s="243">
        <v>38.5</v>
      </c>
      <c r="CX57" s="242">
        <f>CV57*C57</f>
        <v>17.620129870129869</v>
      </c>
      <c r="CY57" s="240">
        <f t="shared" si="51"/>
        <v>5</v>
      </c>
      <c r="CZ57" s="244">
        <f>CY57*8*DC51</f>
        <v>1200</v>
      </c>
      <c r="DA57" s="297">
        <f>CX57</f>
        <v>17.620129870129869</v>
      </c>
      <c r="DB57" s="298">
        <f>CZ57*DA57</f>
        <v>21144.155844155845</v>
      </c>
      <c r="DC57" s="300"/>
      <c r="DD57" s="245">
        <f t="shared" si="38"/>
        <v>5427</v>
      </c>
      <c r="DE57" s="243">
        <f>DD57/177.1</f>
        <v>30.643704121964994</v>
      </c>
      <c r="DF57" s="243">
        <v>38.5</v>
      </c>
      <c r="DG57" s="242">
        <f>DE57*C57</f>
        <v>15.321852060982497</v>
      </c>
      <c r="DH57" s="240">
        <f t="shared" si="52"/>
        <v>5</v>
      </c>
      <c r="DI57" s="244">
        <f>DH57*8*DL51</f>
        <v>1240</v>
      </c>
      <c r="DJ57" s="297">
        <f>DG57</f>
        <v>15.321852060982497</v>
      </c>
      <c r="DK57" s="298">
        <f>DI57*DJ57</f>
        <v>18999.096555618296</v>
      </c>
      <c r="DL57" s="300"/>
      <c r="DM57" s="301">
        <f>N57+W57+AF57+AO57+AX57+BG57+BP57+BY57+CH57+CQ57+CZ57+DI57</f>
        <v>14600</v>
      </c>
      <c r="DN57" s="301">
        <f>P57+Y57+AH57+AQ57+AZ57+BI57+BR57+CA57+CJ57+CS57+DB57+DK57</f>
        <v>240478.30293870295</v>
      </c>
      <c r="DO57" s="378"/>
      <c r="DP57" s="378"/>
      <c r="DQ57" s="378"/>
    </row>
    <row r="58" spans="1:121" s="228" customFormat="1">
      <c r="A58" s="229" t="s">
        <v>1708</v>
      </c>
      <c r="B58" s="230"/>
      <c r="C58" s="231"/>
      <c r="D58" s="232"/>
      <c r="E58" s="232"/>
      <c r="F58" s="240">
        <f>C58</f>
        <v>0</v>
      </c>
      <c r="G58" s="233"/>
      <c r="H58" s="234"/>
      <c r="I58" s="240">
        <f>F58</f>
        <v>0</v>
      </c>
      <c r="J58" s="246"/>
      <c r="K58" s="235"/>
      <c r="L58" s="242"/>
      <c r="M58" s="240">
        <f t="shared" si="39"/>
        <v>0</v>
      </c>
      <c r="N58" s="247"/>
      <c r="O58" s="297"/>
      <c r="P58" s="298"/>
      <c r="Q58" s="298"/>
      <c r="R58" s="245">
        <f t="shared" si="31"/>
        <v>0</v>
      </c>
      <c r="S58" s="235"/>
      <c r="T58" s="235"/>
      <c r="U58" s="242"/>
      <c r="V58" s="240">
        <f t="shared" si="40"/>
        <v>0</v>
      </c>
      <c r="W58" s="247"/>
      <c r="X58" s="297"/>
      <c r="Y58" s="298"/>
      <c r="Z58" s="298"/>
      <c r="AA58" s="245">
        <f t="shared" si="32"/>
        <v>0</v>
      </c>
      <c r="AB58" s="235"/>
      <c r="AC58" s="235"/>
      <c r="AD58" s="242"/>
      <c r="AE58" s="240">
        <f t="shared" si="41"/>
        <v>0</v>
      </c>
      <c r="AF58" s="247"/>
      <c r="AG58" s="297"/>
      <c r="AH58" s="298"/>
      <c r="AI58" s="300"/>
      <c r="AJ58" s="245">
        <f t="shared" si="33"/>
        <v>0</v>
      </c>
      <c r="AK58" s="235"/>
      <c r="AL58" s="235"/>
      <c r="AM58" s="242"/>
      <c r="AN58" s="240">
        <f t="shared" si="42"/>
        <v>0</v>
      </c>
      <c r="AO58" s="247"/>
      <c r="AP58" s="297"/>
      <c r="AQ58" s="298"/>
      <c r="AR58" s="300"/>
      <c r="AS58" s="245">
        <f t="shared" si="34"/>
        <v>0</v>
      </c>
      <c r="AT58" s="235"/>
      <c r="AU58" s="235"/>
      <c r="AV58" s="242"/>
      <c r="AW58" s="240">
        <f t="shared" si="43"/>
        <v>0</v>
      </c>
      <c r="AX58" s="247"/>
      <c r="AY58" s="297"/>
      <c r="AZ58" s="298"/>
      <c r="BA58" s="300"/>
      <c r="BB58" s="245">
        <f t="shared" si="35"/>
        <v>0</v>
      </c>
      <c r="BC58" s="235"/>
      <c r="BD58" s="235"/>
      <c r="BE58" s="242"/>
      <c r="BF58" s="240">
        <f t="shared" si="44"/>
        <v>0</v>
      </c>
      <c r="BG58" s="247"/>
      <c r="BH58" s="297"/>
      <c r="BI58" s="298"/>
      <c r="BJ58" s="300"/>
      <c r="BK58" s="245">
        <f t="shared" si="45"/>
        <v>0</v>
      </c>
      <c r="BL58" s="235"/>
      <c r="BM58" s="235"/>
      <c r="BN58" s="242"/>
      <c r="BO58" s="240">
        <f t="shared" si="46"/>
        <v>0</v>
      </c>
      <c r="BP58" s="247"/>
      <c r="BQ58" s="297"/>
      <c r="BR58" s="298"/>
      <c r="BS58" s="300"/>
      <c r="BT58" s="245">
        <f t="shared" si="36"/>
        <v>0</v>
      </c>
      <c r="BU58" s="235"/>
      <c r="BV58" s="235"/>
      <c r="BW58" s="242"/>
      <c r="BX58" s="240">
        <f t="shared" si="47"/>
        <v>0</v>
      </c>
      <c r="BY58" s="247"/>
      <c r="BZ58" s="297"/>
      <c r="CA58" s="298"/>
      <c r="CB58" s="300"/>
      <c r="CC58" s="245">
        <f t="shared" si="48"/>
        <v>0</v>
      </c>
      <c r="CD58" s="235"/>
      <c r="CE58" s="235"/>
      <c r="CF58" s="242"/>
      <c r="CG58" s="240">
        <f t="shared" si="49"/>
        <v>0</v>
      </c>
      <c r="CH58" s="247"/>
      <c r="CI58" s="297"/>
      <c r="CJ58" s="298"/>
      <c r="CK58" s="300"/>
      <c r="CL58" s="245">
        <f t="shared" si="53"/>
        <v>0</v>
      </c>
      <c r="CM58" s="235"/>
      <c r="CN58" s="235"/>
      <c r="CO58" s="242"/>
      <c r="CP58" s="240">
        <f t="shared" si="50"/>
        <v>0</v>
      </c>
      <c r="CQ58" s="247"/>
      <c r="CR58" s="297"/>
      <c r="CS58" s="298"/>
      <c r="CT58" s="300"/>
      <c r="CU58" s="245">
        <f t="shared" si="37"/>
        <v>0</v>
      </c>
      <c r="CV58" s="235"/>
      <c r="CW58" s="235"/>
      <c r="CX58" s="242"/>
      <c r="CY58" s="240">
        <f t="shared" si="51"/>
        <v>0</v>
      </c>
      <c r="CZ58" s="247"/>
      <c r="DA58" s="297"/>
      <c r="DB58" s="298"/>
      <c r="DC58" s="300"/>
      <c r="DD58" s="245">
        <f t="shared" si="38"/>
        <v>0</v>
      </c>
      <c r="DE58" s="235"/>
      <c r="DF58" s="235"/>
      <c r="DG58" s="242"/>
      <c r="DH58" s="240">
        <f t="shared" si="52"/>
        <v>0</v>
      </c>
      <c r="DI58" s="247"/>
      <c r="DJ58" s="297"/>
      <c r="DK58" s="298"/>
      <c r="DL58" s="300"/>
      <c r="DM58" s="301"/>
      <c r="DN58" s="301"/>
      <c r="DO58" s="378"/>
      <c r="DP58" s="378"/>
      <c r="DQ58" s="378"/>
    </row>
    <row r="59" spans="1:121" s="228" customFormat="1">
      <c r="A59" s="237" t="s">
        <v>1715</v>
      </c>
      <c r="B59" s="281">
        <f>7*365*8</f>
        <v>20440</v>
      </c>
      <c r="C59" s="239">
        <v>0.35</v>
      </c>
      <c r="D59" s="240">
        <v>7</v>
      </c>
      <c r="E59" s="240">
        <f>D59*8</f>
        <v>56</v>
      </c>
      <c r="F59" s="240">
        <v>2480</v>
      </c>
      <c r="G59" s="238"/>
      <c r="H59" s="241">
        <v>3</v>
      </c>
      <c r="I59" s="240">
        <v>3414</v>
      </c>
      <c r="J59" s="242">
        <f>I59/168</f>
        <v>20.321428571428573</v>
      </c>
      <c r="K59" s="243">
        <v>40</v>
      </c>
      <c r="L59" s="242">
        <f>J59*C59</f>
        <v>7.1124999999999998</v>
      </c>
      <c r="M59" s="240">
        <f t="shared" si="39"/>
        <v>7</v>
      </c>
      <c r="N59" s="244">
        <f>M59*8*Q51</f>
        <v>1736</v>
      </c>
      <c r="O59" s="297">
        <f>L59</f>
        <v>7.1124999999999998</v>
      </c>
      <c r="P59" s="298">
        <f>N59*O59</f>
        <v>12347.3</v>
      </c>
      <c r="Q59" s="298"/>
      <c r="R59" s="245">
        <f t="shared" si="31"/>
        <v>3414</v>
      </c>
      <c r="S59" s="243">
        <f>R59/168</f>
        <v>20.321428571428573</v>
      </c>
      <c r="T59" s="243">
        <v>40</v>
      </c>
      <c r="U59" s="242">
        <f>S59*C59</f>
        <v>7.1124999999999998</v>
      </c>
      <c r="V59" s="240">
        <f t="shared" si="40"/>
        <v>7</v>
      </c>
      <c r="W59" s="244">
        <f>V59*8*Z51</f>
        <v>1568</v>
      </c>
      <c r="X59" s="297">
        <f>U59</f>
        <v>7.1124999999999998</v>
      </c>
      <c r="Y59" s="298">
        <f>W59*X59</f>
        <v>11152.4</v>
      </c>
      <c r="Z59" s="298"/>
      <c r="AA59" s="245">
        <f t="shared" si="32"/>
        <v>3414</v>
      </c>
      <c r="AB59" s="243">
        <f>AA59/159</f>
        <v>21.471698113207548</v>
      </c>
      <c r="AC59" s="243">
        <v>40</v>
      </c>
      <c r="AD59" s="242">
        <f>AB59*C59</f>
        <v>7.5150943396226415</v>
      </c>
      <c r="AE59" s="240">
        <f t="shared" si="41"/>
        <v>7</v>
      </c>
      <c r="AF59" s="244">
        <f>AE59*8*AI51</f>
        <v>1736</v>
      </c>
      <c r="AG59" s="297">
        <f>AD59</f>
        <v>7.5150943396226415</v>
      </c>
      <c r="AH59" s="298">
        <f>AF59*AG59</f>
        <v>13046.203773584906</v>
      </c>
      <c r="AI59" s="300"/>
      <c r="AJ59" s="245">
        <f t="shared" si="33"/>
        <v>3414</v>
      </c>
      <c r="AK59" s="243">
        <f>AJ59/167</f>
        <v>20.443113772455089</v>
      </c>
      <c r="AL59" s="243">
        <v>40</v>
      </c>
      <c r="AM59" s="242">
        <f>AK59*C59</f>
        <v>7.1550898203592803</v>
      </c>
      <c r="AN59" s="240">
        <f t="shared" si="42"/>
        <v>7</v>
      </c>
      <c r="AO59" s="244">
        <f>AN59*8*AR51</f>
        <v>1680</v>
      </c>
      <c r="AP59" s="297">
        <f>AM59</f>
        <v>7.1550898203592803</v>
      </c>
      <c r="AQ59" s="298">
        <f>AO59*AP59</f>
        <v>12020.550898203592</v>
      </c>
      <c r="AR59" s="300"/>
      <c r="AS59" s="245">
        <f t="shared" si="34"/>
        <v>3414</v>
      </c>
      <c r="AT59" s="243">
        <f>AS59/151</f>
        <v>22.609271523178808</v>
      </c>
      <c r="AU59" s="243">
        <v>40</v>
      </c>
      <c r="AV59" s="242">
        <f>AT59*C59</f>
        <v>7.9132450331125828</v>
      </c>
      <c r="AW59" s="240">
        <f t="shared" si="43"/>
        <v>7</v>
      </c>
      <c r="AX59" s="244">
        <f>AW59*8*BA51</f>
        <v>1736</v>
      </c>
      <c r="AY59" s="297">
        <f>AV59</f>
        <v>7.9132450331125828</v>
      </c>
      <c r="AZ59" s="298">
        <f>AX59*AY59</f>
        <v>13737.393377483444</v>
      </c>
      <c r="BA59" s="300"/>
      <c r="BB59" s="245">
        <f t="shared" si="35"/>
        <v>3414</v>
      </c>
      <c r="BC59" s="243">
        <f>BB59/151</f>
        <v>22.609271523178808</v>
      </c>
      <c r="BD59" s="243">
        <v>40</v>
      </c>
      <c r="BE59" s="242">
        <f>BC59*C59</f>
        <v>7.9132450331125828</v>
      </c>
      <c r="BF59" s="240">
        <f t="shared" si="44"/>
        <v>7</v>
      </c>
      <c r="BG59" s="244">
        <f>BF59*8*BJ51</f>
        <v>1680</v>
      </c>
      <c r="BH59" s="297">
        <f>BE59</f>
        <v>7.9132450331125828</v>
      </c>
      <c r="BI59" s="298">
        <f>BG59*BH59</f>
        <v>13294.251655629139</v>
      </c>
      <c r="BJ59" s="300"/>
      <c r="BK59" s="245">
        <f t="shared" si="45"/>
        <v>3414</v>
      </c>
      <c r="BL59" s="243">
        <f>BK59/184</f>
        <v>18.554347826086957</v>
      </c>
      <c r="BM59" s="243">
        <v>40</v>
      </c>
      <c r="BN59" s="242">
        <f>BL59*C59</f>
        <v>6.4940217391304342</v>
      </c>
      <c r="BO59" s="240">
        <f t="shared" si="46"/>
        <v>7</v>
      </c>
      <c r="BP59" s="244">
        <f>BO59*8*BS51</f>
        <v>1736</v>
      </c>
      <c r="BQ59" s="297">
        <f>BN59</f>
        <v>6.4940217391304342</v>
      </c>
      <c r="BR59" s="298">
        <f>BP59*BQ59</f>
        <v>11273.621739130434</v>
      </c>
      <c r="BS59" s="300"/>
      <c r="BT59" s="245">
        <f t="shared" si="36"/>
        <v>3414</v>
      </c>
      <c r="BU59" s="243">
        <f>BT59/160</f>
        <v>21.337499999999999</v>
      </c>
      <c r="BV59" s="243">
        <v>40</v>
      </c>
      <c r="BW59" s="242">
        <f>BU59*C59</f>
        <v>7.4681249999999988</v>
      </c>
      <c r="BX59" s="240">
        <f t="shared" si="47"/>
        <v>7</v>
      </c>
      <c r="BY59" s="244">
        <f>BX59*8*CB51</f>
        <v>1736</v>
      </c>
      <c r="BZ59" s="297">
        <f>BW59</f>
        <v>7.4681249999999988</v>
      </c>
      <c r="CA59" s="298">
        <f>BY59*BZ59</f>
        <v>12964.664999999997</v>
      </c>
      <c r="CB59" s="300"/>
      <c r="CC59" s="245">
        <f t="shared" si="48"/>
        <v>3414</v>
      </c>
      <c r="CD59" s="243">
        <f>CC59/176</f>
        <v>19.397727272727273</v>
      </c>
      <c r="CE59" s="243">
        <v>40</v>
      </c>
      <c r="CF59" s="242">
        <f>CD59*C59</f>
        <v>6.7892045454545453</v>
      </c>
      <c r="CG59" s="240">
        <f t="shared" si="49"/>
        <v>7</v>
      </c>
      <c r="CH59" s="244">
        <f>CG59*8*CK51</f>
        <v>1680</v>
      </c>
      <c r="CI59" s="297">
        <f>CF59</f>
        <v>6.7892045454545453</v>
      </c>
      <c r="CJ59" s="298">
        <f>CH59*CI59</f>
        <v>11405.863636363636</v>
      </c>
      <c r="CK59" s="300"/>
      <c r="CL59" s="245">
        <v>3519</v>
      </c>
      <c r="CM59" s="243">
        <f>CL59/184</f>
        <v>19.125</v>
      </c>
      <c r="CN59" s="243">
        <v>40</v>
      </c>
      <c r="CO59" s="242">
        <f>CM59*C59</f>
        <v>6.6937499999999996</v>
      </c>
      <c r="CP59" s="240">
        <f t="shared" si="50"/>
        <v>7</v>
      </c>
      <c r="CQ59" s="244">
        <f>CP59*8*CT51</f>
        <v>1736</v>
      </c>
      <c r="CR59" s="297">
        <f>CO59</f>
        <v>6.6937499999999996</v>
      </c>
      <c r="CS59" s="298">
        <f>CQ59*CR59</f>
        <v>11620.349999999999</v>
      </c>
      <c r="CT59" s="300"/>
      <c r="CU59" s="245">
        <f t="shared" si="37"/>
        <v>3519</v>
      </c>
      <c r="CV59" s="243">
        <f>CU59/160</f>
        <v>21.993749999999999</v>
      </c>
      <c r="CW59" s="243">
        <v>40</v>
      </c>
      <c r="CX59" s="242">
        <f>CV59*C59</f>
        <v>7.6978124999999986</v>
      </c>
      <c r="CY59" s="240">
        <f t="shared" si="51"/>
        <v>7</v>
      </c>
      <c r="CZ59" s="244">
        <f>CY59*8*DC51</f>
        <v>1680</v>
      </c>
      <c r="DA59" s="297">
        <f>CX59</f>
        <v>7.6978124999999986</v>
      </c>
      <c r="DB59" s="298">
        <f>CZ59*DA59</f>
        <v>12932.324999999997</v>
      </c>
      <c r="DC59" s="300"/>
      <c r="DD59" s="245">
        <f t="shared" si="38"/>
        <v>3519</v>
      </c>
      <c r="DE59" s="243">
        <f>DD59/183</f>
        <v>19.229508196721312</v>
      </c>
      <c r="DF59" s="243">
        <v>40</v>
      </c>
      <c r="DG59" s="242">
        <f>DE59*C59</f>
        <v>6.7303278688524593</v>
      </c>
      <c r="DH59" s="240">
        <f t="shared" si="52"/>
        <v>7</v>
      </c>
      <c r="DI59" s="244">
        <f>DH59*8*DL51</f>
        <v>1736</v>
      </c>
      <c r="DJ59" s="297">
        <f>DG59</f>
        <v>6.7303278688524593</v>
      </c>
      <c r="DK59" s="298">
        <f>DI59*DJ59</f>
        <v>11683.849180327868</v>
      </c>
      <c r="DL59" s="300"/>
      <c r="DM59" s="301">
        <f>N59+W59+AF59+AO59+AX59+BG59+BP59+BY59+CH59+CQ59+CZ59+DI59</f>
        <v>20440</v>
      </c>
      <c r="DN59" s="301">
        <f>P59+Y59+AH59+AQ59+AZ59+BI59+BR59+CA59+CJ59+CS59+DB59+DK59</f>
        <v>147478.774260723</v>
      </c>
      <c r="DO59" s="378"/>
      <c r="DP59" s="378"/>
      <c r="DQ59" s="378"/>
    </row>
    <row r="60" spans="1:121" s="228" customFormat="1">
      <c r="A60" s="237" t="s">
        <v>1735</v>
      </c>
      <c r="B60" s="281">
        <f>2*365*8</f>
        <v>5840</v>
      </c>
      <c r="C60" s="239">
        <v>0.5</v>
      </c>
      <c r="D60" s="240">
        <v>2</v>
      </c>
      <c r="E60" s="240">
        <f>D60*8</f>
        <v>16</v>
      </c>
      <c r="F60" s="240">
        <v>2480</v>
      </c>
      <c r="G60" s="238"/>
      <c r="H60" s="241">
        <v>3</v>
      </c>
      <c r="I60" s="240">
        <v>3414</v>
      </c>
      <c r="J60" s="242">
        <f>I60/168</f>
        <v>20.321428571428573</v>
      </c>
      <c r="K60" s="243">
        <v>40</v>
      </c>
      <c r="L60" s="242">
        <f>J60*C60</f>
        <v>10.160714285714286</v>
      </c>
      <c r="M60" s="240">
        <f t="shared" si="39"/>
        <v>2</v>
      </c>
      <c r="N60" s="244">
        <f>M60*8*Q51</f>
        <v>496</v>
      </c>
      <c r="O60" s="297">
        <f>L60</f>
        <v>10.160714285714286</v>
      </c>
      <c r="P60" s="298">
        <f>N60*O60</f>
        <v>5039.7142857142862</v>
      </c>
      <c r="Q60" s="298"/>
      <c r="R60" s="245">
        <f t="shared" si="31"/>
        <v>3414</v>
      </c>
      <c r="S60" s="243">
        <f>R60/168</f>
        <v>20.321428571428573</v>
      </c>
      <c r="T60" s="243">
        <v>40</v>
      </c>
      <c r="U60" s="242">
        <f>S60*C60</f>
        <v>10.160714285714286</v>
      </c>
      <c r="V60" s="240">
        <f t="shared" si="40"/>
        <v>2</v>
      </c>
      <c r="W60" s="244">
        <f>V60*8*Z51</f>
        <v>448</v>
      </c>
      <c r="X60" s="297">
        <f>U60</f>
        <v>10.160714285714286</v>
      </c>
      <c r="Y60" s="298">
        <f>W60*X60</f>
        <v>4552</v>
      </c>
      <c r="Z60" s="298"/>
      <c r="AA60" s="245">
        <f t="shared" si="32"/>
        <v>3414</v>
      </c>
      <c r="AB60" s="243">
        <f>AA60/159</f>
        <v>21.471698113207548</v>
      </c>
      <c r="AC60" s="243">
        <v>40</v>
      </c>
      <c r="AD60" s="242">
        <f>AB60*C60</f>
        <v>10.735849056603774</v>
      </c>
      <c r="AE60" s="240">
        <f t="shared" si="41"/>
        <v>2</v>
      </c>
      <c r="AF60" s="244">
        <f>AE60*8*AI51</f>
        <v>496</v>
      </c>
      <c r="AG60" s="297">
        <f>AD60</f>
        <v>10.735849056603774</v>
      </c>
      <c r="AH60" s="298">
        <f>AF60*AG60</f>
        <v>5324.9811320754716</v>
      </c>
      <c r="AI60" s="300"/>
      <c r="AJ60" s="245">
        <f t="shared" si="33"/>
        <v>3414</v>
      </c>
      <c r="AK60" s="243">
        <f>AJ60/167</f>
        <v>20.443113772455089</v>
      </c>
      <c r="AL60" s="243">
        <v>40</v>
      </c>
      <c r="AM60" s="242">
        <f>AK60*C60</f>
        <v>10.221556886227544</v>
      </c>
      <c r="AN60" s="240">
        <f t="shared" si="42"/>
        <v>2</v>
      </c>
      <c r="AO60" s="244">
        <f>AN60*8*AR51</f>
        <v>480</v>
      </c>
      <c r="AP60" s="297">
        <f>AM60</f>
        <v>10.221556886227544</v>
      </c>
      <c r="AQ60" s="298">
        <f>AO60*AP60</f>
        <v>4906.3473053892212</v>
      </c>
      <c r="AR60" s="300"/>
      <c r="AS60" s="245">
        <f t="shared" si="34"/>
        <v>3414</v>
      </c>
      <c r="AT60" s="243">
        <f>AS60/151</f>
        <v>22.609271523178808</v>
      </c>
      <c r="AU60" s="243">
        <v>40</v>
      </c>
      <c r="AV60" s="242">
        <f>AT60*C60</f>
        <v>11.304635761589404</v>
      </c>
      <c r="AW60" s="240">
        <f t="shared" si="43"/>
        <v>2</v>
      </c>
      <c r="AX60" s="244">
        <f>AW60*8*BA51</f>
        <v>496</v>
      </c>
      <c r="AY60" s="297">
        <f>AV60</f>
        <v>11.304635761589404</v>
      </c>
      <c r="AZ60" s="298">
        <f>AX60*AY60</f>
        <v>5607.0993377483446</v>
      </c>
      <c r="BA60" s="300"/>
      <c r="BB60" s="245">
        <f t="shared" si="35"/>
        <v>3414</v>
      </c>
      <c r="BC60" s="243">
        <f>BB60/167</f>
        <v>20.443113772455089</v>
      </c>
      <c r="BD60" s="243">
        <v>40</v>
      </c>
      <c r="BE60" s="242">
        <f>BC60*C60</f>
        <v>10.221556886227544</v>
      </c>
      <c r="BF60" s="240">
        <f t="shared" si="44"/>
        <v>2</v>
      </c>
      <c r="BG60" s="244">
        <f>BF60*8*BJ51</f>
        <v>480</v>
      </c>
      <c r="BH60" s="297">
        <f>BE60</f>
        <v>10.221556886227544</v>
      </c>
      <c r="BI60" s="298">
        <f>BG60*BH60</f>
        <v>4906.3473053892212</v>
      </c>
      <c r="BJ60" s="300"/>
      <c r="BK60" s="245">
        <f t="shared" si="45"/>
        <v>3414</v>
      </c>
      <c r="BL60" s="243">
        <f>BK60/184</f>
        <v>18.554347826086957</v>
      </c>
      <c r="BM60" s="243">
        <v>40</v>
      </c>
      <c r="BN60" s="242">
        <f>BL60*C60</f>
        <v>9.2771739130434785</v>
      </c>
      <c r="BO60" s="240">
        <f t="shared" si="46"/>
        <v>2</v>
      </c>
      <c r="BP60" s="244">
        <f>BO60*8*BS51</f>
        <v>496</v>
      </c>
      <c r="BQ60" s="297">
        <f>BN60</f>
        <v>9.2771739130434785</v>
      </c>
      <c r="BR60" s="298">
        <f>BP60*BQ60</f>
        <v>4601.478260869565</v>
      </c>
      <c r="BS60" s="300"/>
      <c r="BT60" s="245">
        <f t="shared" si="36"/>
        <v>3414</v>
      </c>
      <c r="BU60" s="243">
        <f>BT60/160</f>
        <v>21.337499999999999</v>
      </c>
      <c r="BV60" s="243">
        <v>40</v>
      </c>
      <c r="BW60" s="242">
        <f>BU60*C60</f>
        <v>10.668749999999999</v>
      </c>
      <c r="BX60" s="240">
        <f t="shared" si="47"/>
        <v>2</v>
      </c>
      <c r="BY60" s="244">
        <f>BX60*8*CB51</f>
        <v>496</v>
      </c>
      <c r="BZ60" s="297">
        <f>BW60</f>
        <v>10.668749999999999</v>
      </c>
      <c r="CA60" s="298">
        <f>BY60*BZ60</f>
        <v>5291.7</v>
      </c>
      <c r="CB60" s="300"/>
      <c r="CC60" s="245">
        <f t="shared" si="48"/>
        <v>3414</v>
      </c>
      <c r="CD60" s="243">
        <f>CC60/176</f>
        <v>19.397727272727273</v>
      </c>
      <c r="CE60" s="243">
        <v>40</v>
      </c>
      <c r="CF60" s="242">
        <f>CD60*C60</f>
        <v>9.6988636363636367</v>
      </c>
      <c r="CG60" s="240">
        <f t="shared" si="49"/>
        <v>2</v>
      </c>
      <c r="CH60" s="244">
        <f>CG60*8*CK51</f>
        <v>480</v>
      </c>
      <c r="CI60" s="297">
        <f>CF60</f>
        <v>9.6988636363636367</v>
      </c>
      <c r="CJ60" s="298">
        <f>CH60*CI60</f>
        <v>4655.454545454546</v>
      </c>
      <c r="CK60" s="300"/>
      <c r="CL60" s="245">
        <v>3519</v>
      </c>
      <c r="CM60" s="243">
        <f>CL60/184</f>
        <v>19.125</v>
      </c>
      <c r="CN60" s="243">
        <v>40</v>
      </c>
      <c r="CO60" s="242">
        <f>CM60*C60</f>
        <v>9.5625</v>
      </c>
      <c r="CP60" s="240">
        <f t="shared" si="50"/>
        <v>2</v>
      </c>
      <c r="CQ60" s="244">
        <f>CP60*8*CT51</f>
        <v>496</v>
      </c>
      <c r="CR60" s="297">
        <f>CO60</f>
        <v>9.5625</v>
      </c>
      <c r="CS60" s="298">
        <f>CQ60*CR60</f>
        <v>4743</v>
      </c>
      <c r="CT60" s="300"/>
      <c r="CU60" s="245">
        <f t="shared" si="37"/>
        <v>3519</v>
      </c>
      <c r="CV60" s="243">
        <f>CU60/160</f>
        <v>21.993749999999999</v>
      </c>
      <c r="CW60" s="243">
        <v>40</v>
      </c>
      <c r="CX60" s="242">
        <f>CV60*C60</f>
        <v>10.996874999999999</v>
      </c>
      <c r="CY60" s="240">
        <f t="shared" si="51"/>
        <v>2</v>
      </c>
      <c r="CZ60" s="244">
        <f>CY60*8*DC51</f>
        <v>480</v>
      </c>
      <c r="DA60" s="297">
        <f>CX60</f>
        <v>10.996874999999999</v>
      </c>
      <c r="DB60" s="298">
        <f>CZ60*DA60</f>
        <v>5278.5</v>
      </c>
      <c r="DC60" s="300"/>
      <c r="DD60" s="245">
        <f t="shared" si="38"/>
        <v>3519</v>
      </c>
      <c r="DE60" s="243">
        <f>DD60/183</f>
        <v>19.229508196721312</v>
      </c>
      <c r="DF60" s="243">
        <v>40</v>
      </c>
      <c r="DG60" s="242">
        <f>DE60*C60</f>
        <v>9.6147540983606561</v>
      </c>
      <c r="DH60" s="240">
        <f t="shared" si="52"/>
        <v>2</v>
      </c>
      <c r="DI60" s="244">
        <f>DH60*8*DL51</f>
        <v>496</v>
      </c>
      <c r="DJ60" s="297">
        <f>DG60</f>
        <v>9.6147540983606561</v>
      </c>
      <c r="DK60" s="298">
        <f>DI60*DJ60</f>
        <v>4768.9180327868853</v>
      </c>
      <c r="DL60" s="300"/>
      <c r="DM60" s="301">
        <f>N60+W60+AF60+AO60+AX60+BG60+BP60+BY60+CH60+CQ60+CZ60+DI60</f>
        <v>5840</v>
      </c>
      <c r="DN60" s="301">
        <f>P60+Y60+AH60+AQ60+AZ60+BI60+BR60+CA60+CJ60+CS60+DB60+DK60</f>
        <v>59675.540205427547</v>
      </c>
      <c r="DO60" s="378"/>
      <c r="DP60" s="378"/>
      <c r="DQ60" s="378"/>
    </row>
    <row r="61" spans="1:121" s="228" customFormat="1">
      <c r="A61" s="229" t="s">
        <v>1709</v>
      </c>
      <c r="B61" s="230"/>
      <c r="C61" s="231"/>
      <c r="D61" s="240"/>
      <c r="E61" s="232"/>
      <c r="F61" s="240">
        <f>C61</f>
        <v>0</v>
      </c>
      <c r="G61" s="233"/>
      <c r="H61" s="234"/>
      <c r="I61" s="240">
        <f>F61</f>
        <v>0</v>
      </c>
      <c r="J61" s="246"/>
      <c r="K61" s="235"/>
      <c r="L61" s="242"/>
      <c r="M61" s="240">
        <f t="shared" si="39"/>
        <v>0</v>
      </c>
      <c r="N61" s="247"/>
      <c r="O61" s="297"/>
      <c r="P61" s="298"/>
      <c r="Q61" s="298"/>
      <c r="R61" s="245">
        <f t="shared" si="31"/>
        <v>0</v>
      </c>
      <c r="S61" s="235"/>
      <c r="T61" s="235"/>
      <c r="U61" s="242"/>
      <c r="V61" s="240">
        <f t="shared" si="40"/>
        <v>0</v>
      </c>
      <c r="W61" s="247"/>
      <c r="X61" s="297"/>
      <c r="Y61" s="298"/>
      <c r="Z61" s="298"/>
      <c r="AA61" s="245">
        <f t="shared" si="32"/>
        <v>0</v>
      </c>
      <c r="AB61" s="235"/>
      <c r="AC61" s="235"/>
      <c r="AD61" s="242"/>
      <c r="AE61" s="240">
        <f t="shared" si="41"/>
        <v>0</v>
      </c>
      <c r="AF61" s="247"/>
      <c r="AG61" s="297"/>
      <c r="AH61" s="298"/>
      <c r="AI61" s="300"/>
      <c r="AJ61" s="245">
        <f t="shared" si="33"/>
        <v>0</v>
      </c>
      <c r="AK61" s="235"/>
      <c r="AL61" s="235"/>
      <c r="AM61" s="242"/>
      <c r="AN61" s="240">
        <f t="shared" si="42"/>
        <v>0</v>
      </c>
      <c r="AO61" s="247"/>
      <c r="AP61" s="297"/>
      <c r="AQ61" s="298"/>
      <c r="AR61" s="300"/>
      <c r="AS61" s="245">
        <f t="shared" si="34"/>
        <v>0</v>
      </c>
      <c r="AT61" s="235"/>
      <c r="AU61" s="235"/>
      <c r="AV61" s="242"/>
      <c r="AW61" s="240">
        <f t="shared" si="43"/>
        <v>0</v>
      </c>
      <c r="AX61" s="247"/>
      <c r="AY61" s="297"/>
      <c r="AZ61" s="298"/>
      <c r="BA61" s="300"/>
      <c r="BB61" s="245">
        <f t="shared" si="35"/>
        <v>0</v>
      </c>
      <c r="BC61" s="235"/>
      <c r="BD61" s="235"/>
      <c r="BE61" s="242"/>
      <c r="BF61" s="240">
        <f t="shared" si="44"/>
        <v>0</v>
      </c>
      <c r="BG61" s="247"/>
      <c r="BH61" s="297"/>
      <c r="BI61" s="298"/>
      <c r="BJ61" s="300"/>
      <c r="BK61" s="245">
        <f t="shared" si="45"/>
        <v>0</v>
      </c>
      <c r="BL61" s="235"/>
      <c r="BM61" s="235"/>
      <c r="BN61" s="242"/>
      <c r="BO61" s="240">
        <f t="shared" si="46"/>
        <v>0</v>
      </c>
      <c r="BP61" s="247"/>
      <c r="BQ61" s="297"/>
      <c r="BR61" s="298"/>
      <c r="BS61" s="300"/>
      <c r="BT61" s="245">
        <f t="shared" si="36"/>
        <v>0</v>
      </c>
      <c r="BU61" s="235"/>
      <c r="BV61" s="235"/>
      <c r="BW61" s="242"/>
      <c r="BX61" s="240">
        <f t="shared" si="47"/>
        <v>0</v>
      </c>
      <c r="BY61" s="247"/>
      <c r="BZ61" s="297"/>
      <c r="CA61" s="298"/>
      <c r="CB61" s="300"/>
      <c r="CC61" s="245">
        <f t="shared" si="48"/>
        <v>0</v>
      </c>
      <c r="CD61" s="235"/>
      <c r="CE61" s="235"/>
      <c r="CF61" s="242"/>
      <c r="CG61" s="240">
        <f t="shared" si="49"/>
        <v>0</v>
      </c>
      <c r="CH61" s="247"/>
      <c r="CI61" s="297"/>
      <c r="CJ61" s="298"/>
      <c r="CK61" s="300"/>
      <c r="CL61" s="245">
        <f t="shared" si="53"/>
        <v>0</v>
      </c>
      <c r="CM61" s="235"/>
      <c r="CN61" s="235"/>
      <c r="CO61" s="242"/>
      <c r="CP61" s="240">
        <f t="shared" si="50"/>
        <v>0</v>
      </c>
      <c r="CQ61" s="247"/>
      <c r="CR61" s="297"/>
      <c r="CS61" s="298"/>
      <c r="CT61" s="300"/>
      <c r="CU61" s="245">
        <f t="shared" si="37"/>
        <v>0</v>
      </c>
      <c r="CV61" s="235"/>
      <c r="CW61" s="235"/>
      <c r="CX61" s="242"/>
      <c r="CY61" s="240">
        <f t="shared" si="51"/>
        <v>0</v>
      </c>
      <c r="CZ61" s="247"/>
      <c r="DA61" s="297"/>
      <c r="DB61" s="298"/>
      <c r="DC61" s="300"/>
      <c r="DD61" s="245">
        <f t="shared" si="38"/>
        <v>0</v>
      </c>
      <c r="DE61" s="235"/>
      <c r="DF61" s="235"/>
      <c r="DG61" s="242"/>
      <c r="DH61" s="240">
        <f t="shared" si="52"/>
        <v>0</v>
      </c>
      <c r="DI61" s="247"/>
      <c r="DJ61" s="297"/>
      <c r="DK61" s="298"/>
      <c r="DL61" s="300"/>
      <c r="DM61" s="301"/>
      <c r="DN61" s="301"/>
      <c r="DO61" s="378"/>
      <c r="DP61" s="378"/>
      <c r="DQ61" s="378"/>
    </row>
    <row r="62" spans="1:121" s="228" customFormat="1">
      <c r="A62" s="237" t="s">
        <v>1716</v>
      </c>
      <c r="B62" s="281">
        <f>2*182.5*8</f>
        <v>2920</v>
      </c>
      <c r="C62" s="239">
        <v>0.35</v>
      </c>
      <c r="D62" s="232">
        <v>2</v>
      </c>
      <c r="E62" s="240">
        <f>D62*8</f>
        <v>16</v>
      </c>
      <c r="F62" s="240">
        <v>2480</v>
      </c>
      <c r="G62" s="238"/>
      <c r="H62" s="241">
        <v>3</v>
      </c>
      <c r="I62" s="240">
        <v>3414</v>
      </c>
      <c r="J62" s="242">
        <f>I62/168</f>
        <v>20.321428571428573</v>
      </c>
      <c r="K62" s="243">
        <v>40</v>
      </c>
      <c r="L62" s="242">
        <f>J62*C62</f>
        <v>7.1124999999999998</v>
      </c>
      <c r="M62" s="240">
        <f t="shared" si="39"/>
        <v>2</v>
      </c>
      <c r="N62" s="244">
        <f>M62*8*Q51</f>
        <v>496</v>
      </c>
      <c r="O62" s="297">
        <f>L62</f>
        <v>7.1124999999999998</v>
      </c>
      <c r="P62" s="298">
        <f>N62*O62</f>
        <v>3527.7999999999997</v>
      </c>
      <c r="Q62" s="298"/>
      <c r="R62" s="245">
        <f t="shared" si="31"/>
        <v>3414</v>
      </c>
      <c r="S62" s="243">
        <f>R62/168</f>
        <v>20.321428571428573</v>
      </c>
      <c r="T62" s="243">
        <v>40</v>
      </c>
      <c r="U62" s="242">
        <f>S62*C62</f>
        <v>7.1124999999999998</v>
      </c>
      <c r="V62" s="240">
        <f t="shared" si="40"/>
        <v>2</v>
      </c>
      <c r="W62" s="244">
        <f>V62*8*Z51</f>
        <v>448</v>
      </c>
      <c r="X62" s="297">
        <f>U62</f>
        <v>7.1124999999999998</v>
      </c>
      <c r="Y62" s="298">
        <f>W62*X62</f>
        <v>3186.4</v>
      </c>
      <c r="Z62" s="298"/>
      <c r="AA62" s="245">
        <f t="shared" si="32"/>
        <v>3414</v>
      </c>
      <c r="AB62" s="243">
        <f>AA62/159</f>
        <v>21.471698113207548</v>
      </c>
      <c r="AC62" s="243">
        <v>40</v>
      </c>
      <c r="AD62" s="242">
        <f>AB62*C62</f>
        <v>7.5150943396226415</v>
      </c>
      <c r="AE62" s="240">
        <f t="shared" si="41"/>
        <v>2</v>
      </c>
      <c r="AF62" s="244">
        <f>AE62*8*AI51</f>
        <v>496</v>
      </c>
      <c r="AG62" s="297">
        <f>AD62</f>
        <v>7.5150943396226415</v>
      </c>
      <c r="AH62" s="298">
        <f>AF62*AG62</f>
        <v>3727.4867924528303</v>
      </c>
      <c r="AI62" s="300"/>
      <c r="AJ62" s="245">
        <f t="shared" si="33"/>
        <v>3414</v>
      </c>
      <c r="AK62" s="243">
        <f>AJ62/167</f>
        <v>20.443113772455089</v>
      </c>
      <c r="AL62" s="243">
        <v>40</v>
      </c>
      <c r="AM62" s="242">
        <f>AK62*C62</f>
        <v>7.1550898203592803</v>
      </c>
      <c r="AN62" s="240">
        <f t="shared" si="42"/>
        <v>2</v>
      </c>
      <c r="AO62" s="244">
        <f>AN62*8*AR51</f>
        <v>480</v>
      </c>
      <c r="AP62" s="297">
        <f>AM62</f>
        <v>7.1550898203592803</v>
      </c>
      <c r="AQ62" s="298">
        <f>AO62*AP62</f>
        <v>3434.4431137724546</v>
      </c>
      <c r="AR62" s="300"/>
      <c r="AS62" s="245">
        <f t="shared" si="34"/>
        <v>3414</v>
      </c>
      <c r="AT62" s="243">
        <f>AS62/151</f>
        <v>22.609271523178808</v>
      </c>
      <c r="AU62" s="243">
        <v>40</v>
      </c>
      <c r="AV62" s="242">
        <f>AT62*C62</f>
        <v>7.9132450331125828</v>
      </c>
      <c r="AW62" s="240">
        <f t="shared" si="43"/>
        <v>2</v>
      </c>
      <c r="AX62" s="244">
        <f>AW62*8*BA49</f>
        <v>0</v>
      </c>
      <c r="AY62" s="297">
        <f>AV62</f>
        <v>7.9132450331125828</v>
      </c>
      <c r="AZ62" s="298">
        <f>AX62*AY62</f>
        <v>0</v>
      </c>
      <c r="BA62" s="300"/>
      <c r="BB62" s="245">
        <f t="shared" si="35"/>
        <v>3414</v>
      </c>
      <c r="BC62" s="243">
        <f>BB62/167</f>
        <v>20.443113772455089</v>
      </c>
      <c r="BD62" s="243">
        <v>40</v>
      </c>
      <c r="BE62" s="242">
        <f>BC62*C62</f>
        <v>7.1550898203592803</v>
      </c>
      <c r="BF62" s="240">
        <f t="shared" si="44"/>
        <v>2</v>
      </c>
      <c r="BG62" s="244">
        <f>BF62*8*BJ49</f>
        <v>0</v>
      </c>
      <c r="BH62" s="297">
        <f>BE62</f>
        <v>7.1550898203592803</v>
      </c>
      <c r="BI62" s="298">
        <f>BG62*BH62</f>
        <v>0</v>
      </c>
      <c r="BJ62" s="300"/>
      <c r="BK62" s="245">
        <f t="shared" si="45"/>
        <v>3414</v>
      </c>
      <c r="BL62" s="243">
        <f>BK62/184</f>
        <v>18.554347826086957</v>
      </c>
      <c r="BM62" s="243">
        <v>40</v>
      </c>
      <c r="BN62" s="242">
        <f>BL62*C62</f>
        <v>6.4940217391304342</v>
      </c>
      <c r="BO62" s="240">
        <f t="shared" si="46"/>
        <v>2</v>
      </c>
      <c r="BP62" s="244">
        <f>BO62*8*BS49</f>
        <v>0</v>
      </c>
      <c r="BQ62" s="297">
        <f>BN62</f>
        <v>6.4940217391304342</v>
      </c>
      <c r="BR62" s="298">
        <f>BP62*BQ62</f>
        <v>0</v>
      </c>
      <c r="BS62" s="300"/>
      <c r="BT62" s="245">
        <f t="shared" si="36"/>
        <v>3414</v>
      </c>
      <c r="BU62" s="243">
        <f>BT62/160</f>
        <v>21.337499999999999</v>
      </c>
      <c r="BV62" s="243">
        <v>40</v>
      </c>
      <c r="BW62" s="242">
        <f>BU62*C62</f>
        <v>7.4681249999999988</v>
      </c>
      <c r="BX62" s="240">
        <f t="shared" si="47"/>
        <v>2</v>
      </c>
      <c r="BY62" s="244">
        <f>BX62*8*CB49</f>
        <v>0</v>
      </c>
      <c r="BZ62" s="297">
        <f>BW62</f>
        <v>7.4681249999999988</v>
      </c>
      <c r="CA62" s="298">
        <f>BY62*BZ62</f>
        <v>0</v>
      </c>
      <c r="CB62" s="300"/>
      <c r="CC62" s="245">
        <f t="shared" si="48"/>
        <v>3414</v>
      </c>
      <c r="CD62" s="243">
        <f>CC62/176</f>
        <v>19.397727272727273</v>
      </c>
      <c r="CE62" s="243">
        <v>40</v>
      </c>
      <c r="CF62" s="242">
        <f>CD62*C62</f>
        <v>6.7892045454545453</v>
      </c>
      <c r="CG62" s="240">
        <f t="shared" si="49"/>
        <v>2</v>
      </c>
      <c r="CH62" s="244">
        <f>CG62*8*CK49</f>
        <v>0</v>
      </c>
      <c r="CI62" s="297">
        <f>CF62</f>
        <v>6.7892045454545453</v>
      </c>
      <c r="CJ62" s="298">
        <f>CH62*CI62</f>
        <v>0</v>
      </c>
      <c r="CK62" s="300"/>
      <c r="CL62" s="245">
        <v>3519</v>
      </c>
      <c r="CM62" s="243">
        <f>CL62/184</f>
        <v>19.125</v>
      </c>
      <c r="CN62" s="243">
        <v>40</v>
      </c>
      <c r="CO62" s="242">
        <f>CM62*C62</f>
        <v>6.6937499999999996</v>
      </c>
      <c r="CP62" s="240">
        <f t="shared" si="50"/>
        <v>2</v>
      </c>
      <c r="CQ62" s="244">
        <f>CP62*8*CT51</f>
        <v>496</v>
      </c>
      <c r="CR62" s="297">
        <f>CO62</f>
        <v>6.6937499999999996</v>
      </c>
      <c r="CS62" s="298">
        <f>CQ62*CR62</f>
        <v>3320.1</v>
      </c>
      <c r="CT62" s="300"/>
      <c r="CU62" s="245">
        <f t="shared" si="37"/>
        <v>3519</v>
      </c>
      <c r="CV62" s="243">
        <f>CU62/160</f>
        <v>21.993749999999999</v>
      </c>
      <c r="CW62" s="243">
        <v>40</v>
      </c>
      <c r="CX62" s="242">
        <f>CV62*C62</f>
        <v>7.6978124999999986</v>
      </c>
      <c r="CY62" s="240">
        <f t="shared" si="51"/>
        <v>2</v>
      </c>
      <c r="CZ62" s="244">
        <f>CY62*8*DC51</f>
        <v>480</v>
      </c>
      <c r="DA62" s="297">
        <f>CX62</f>
        <v>7.6978124999999986</v>
      </c>
      <c r="DB62" s="298">
        <f>CZ62*DA62</f>
        <v>3694.9499999999994</v>
      </c>
      <c r="DC62" s="300"/>
      <c r="DD62" s="245">
        <f t="shared" si="38"/>
        <v>3519</v>
      </c>
      <c r="DE62" s="243">
        <f>DD62/183</f>
        <v>19.229508196721312</v>
      </c>
      <c r="DF62" s="243">
        <v>40</v>
      </c>
      <c r="DG62" s="242">
        <f>DE62*C62</f>
        <v>6.7303278688524593</v>
      </c>
      <c r="DH62" s="240">
        <f t="shared" si="52"/>
        <v>2</v>
      </c>
      <c r="DI62" s="244">
        <f>DH62*8*DL51</f>
        <v>496</v>
      </c>
      <c r="DJ62" s="297">
        <f>DG62</f>
        <v>6.7303278688524593</v>
      </c>
      <c r="DK62" s="298">
        <f>DI62*DJ62</f>
        <v>3338.2426229508196</v>
      </c>
      <c r="DL62" s="300"/>
      <c r="DM62" s="301">
        <f>N62+W62+AF62+AO62+AX62+BG62+BP62+BY62+CH62+CQ62+CZ62+DI62</f>
        <v>3392</v>
      </c>
      <c r="DN62" s="301">
        <f>P62+Y62+AH62+AQ62+AZ62+BI62+BR62+CA62+CJ62+CS62+DB62+DK62</f>
        <v>24229.422529176107</v>
      </c>
      <c r="DO62" s="378"/>
      <c r="DP62" s="378"/>
      <c r="DQ62" s="378"/>
    </row>
    <row r="63" spans="1:121" s="228" customFormat="1">
      <c r="A63" s="229" t="s">
        <v>1717</v>
      </c>
      <c r="B63" s="230"/>
      <c r="C63" s="231"/>
      <c r="D63" s="240"/>
      <c r="E63" s="232"/>
      <c r="F63" s="240">
        <f>C63</f>
        <v>0</v>
      </c>
      <c r="G63" s="233"/>
      <c r="H63" s="234"/>
      <c r="I63" s="240">
        <f>F63</f>
        <v>0</v>
      </c>
      <c r="J63" s="246"/>
      <c r="K63" s="235"/>
      <c r="L63" s="242"/>
      <c r="M63" s="240">
        <f t="shared" si="39"/>
        <v>0</v>
      </c>
      <c r="N63" s="247"/>
      <c r="O63" s="297"/>
      <c r="P63" s="298"/>
      <c r="Q63" s="298"/>
      <c r="R63" s="245">
        <f t="shared" si="31"/>
        <v>0</v>
      </c>
      <c r="S63" s="235"/>
      <c r="T63" s="235"/>
      <c r="U63" s="242"/>
      <c r="V63" s="240">
        <f t="shared" si="40"/>
        <v>0</v>
      </c>
      <c r="W63" s="247"/>
      <c r="X63" s="297"/>
      <c r="Y63" s="298"/>
      <c r="Z63" s="298"/>
      <c r="AA63" s="245">
        <f t="shared" si="32"/>
        <v>0</v>
      </c>
      <c r="AB63" s="235"/>
      <c r="AC63" s="235"/>
      <c r="AD63" s="242"/>
      <c r="AE63" s="240">
        <f t="shared" si="41"/>
        <v>0</v>
      </c>
      <c r="AF63" s="247"/>
      <c r="AG63" s="297"/>
      <c r="AH63" s="298"/>
      <c r="AI63" s="300"/>
      <c r="AJ63" s="245">
        <f t="shared" si="33"/>
        <v>0</v>
      </c>
      <c r="AK63" s="235"/>
      <c r="AL63" s="235"/>
      <c r="AM63" s="242"/>
      <c r="AN63" s="240">
        <f t="shared" si="42"/>
        <v>0</v>
      </c>
      <c r="AO63" s="247"/>
      <c r="AP63" s="297"/>
      <c r="AQ63" s="298"/>
      <c r="AR63" s="300"/>
      <c r="AS63" s="245">
        <f t="shared" si="34"/>
        <v>0</v>
      </c>
      <c r="AT63" s="235"/>
      <c r="AU63" s="235"/>
      <c r="AV63" s="242"/>
      <c r="AW63" s="240">
        <f t="shared" si="43"/>
        <v>0</v>
      </c>
      <c r="AX63" s="247"/>
      <c r="AY63" s="297"/>
      <c r="AZ63" s="298"/>
      <c r="BA63" s="300"/>
      <c r="BB63" s="245">
        <f t="shared" si="35"/>
        <v>0</v>
      </c>
      <c r="BC63" s="235"/>
      <c r="BD63" s="235"/>
      <c r="BE63" s="242"/>
      <c r="BF63" s="240">
        <f t="shared" si="44"/>
        <v>0</v>
      </c>
      <c r="BG63" s="247"/>
      <c r="BH63" s="297"/>
      <c r="BI63" s="298"/>
      <c r="BJ63" s="300"/>
      <c r="BK63" s="245">
        <f t="shared" si="45"/>
        <v>0</v>
      </c>
      <c r="BL63" s="235"/>
      <c r="BM63" s="235"/>
      <c r="BN63" s="242"/>
      <c r="BO63" s="240">
        <f t="shared" si="46"/>
        <v>0</v>
      </c>
      <c r="BP63" s="247"/>
      <c r="BQ63" s="297"/>
      <c r="BR63" s="298"/>
      <c r="BS63" s="300"/>
      <c r="BT63" s="245">
        <f t="shared" si="36"/>
        <v>0</v>
      </c>
      <c r="BU63" s="235"/>
      <c r="BV63" s="235"/>
      <c r="BW63" s="242"/>
      <c r="BX63" s="240">
        <f t="shared" si="47"/>
        <v>0</v>
      </c>
      <c r="BY63" s="247"/>
      <c r="BZ63" s="297"/>
      <c r="CA63" s="298"/>
      <c r="CB63" s="300"/>
      <c r="CC63" s="245">
        <f t="shared" si="48"/>
        <v>0</v>
      </c>
      <c r="CD63" s="235"/>
      <c r="CE63" s="235"/>
      <c r="CF63" s="242"/>
      <c r="CG63" s="240">
        <f t="shared" si="49"/>
        <v>0</v>
      </c>
      <c r="CH63" s="247"/>
      <c r="CI63" s="297"/>
      <c r="CJ63" s="298"/>
      <c r="CK63" s="300"/>
      <c r="CL63" s="245">
        <f t="shared" si="53"/>
        <v>0</v>
      </c>
      <c r="CM63" s="235"/>
      <c r="CN63" s="235"/>
      <c r="CO63" s="242"/>
      <c r="CP63" s="240">
        <f t="shared" si="50"/>
        <v>0</v>
      </c>
      <c r="CQ63" s="247"/>
      <c r="CR63" s="297"/>
      <c r="CS63" s="298"/>
      <c r="CT63" s="300"/>
      <c r="CU63" s="245">
        <f t="shared" si="37"/>
        <v>0</v>
      </c>
      <c r="CV63" s="235"/>
      <c r="CW63" s="235"/>
      <c r="CX63" s="242"/>
      <c r="CY63" s="240">
        <f t="shared" si="51"/>
        <v>0</v>
      </c>
      <c r="CZ63" s="247"/>
      <c r="DA63" s="297"/>
      <c r="DB63" s="298"/>
      <c r="DC63" s="300"/>
      <c r="DD63" s="245">
        <f t="shared" si="38"/>
        <v>0</v>
      </c>
      <c r="DE63" s="235"/>
      <c r="DF63" s="235"/>
      <c r="DG63" s="242"/>
      <c r="DH63" s="240">
        <f t="shared" si="52"/>
        <v>0</v>
      </c>
      <c r="DI63" s="247"/>
      <c r="DJ63" s="297"/>
      <c r="DK63" s="298"/>
      <c r="DL63" s="300"/>
      <c r="DM63" s="301"/>
      <c r="DN63" s="301"/>
      <c r="DO63" s="378"/>
      <c r="DP63" s="378"/>
      <c r="DQ63" s="378"/>
    </row>
    <row r="64" spans="1:121" s="228" customFormat="1">
      <c r="A64" s="237" t="s">
        <v>1718</v>
      </c>
      <c r="B64" s="281">
        <f>1*365*8</f>
        <v>2920</v>
      </c>
      <c r="C64" s="239">
        <v>0.35</v>
      </c>
      <c r="D64" s="232">
        <v>1</v>
      </c>
      <c r="E64" s="240">
        <f>D64*8</f>
        <v>8</v>
      </c>
      <c r="F64" s="240">
        <v>2102</v>
      </c>
      <c r="G64" s="238"/>
      <c r="H64" s="241">
        <v>1</v>
      </c>
      <c r="I64" s="240">
        <v>2893</v>
      </c>
      <c r="J64" s="242">
        <f>I64/168</f>
        <v>17.220238095238095</v>
      </c>
      <c r="K64" s="243">
        <v>40</v>
      </c>
      <c r="L64" s="242">
        <f>J64*C64</f>
        <v>6.0270833333333327</v>
      </c>
      <c r="M64" s="240">
        <f t="shared" si="39"/>
        <v>1</v>
      </c>
      <c r="N64" s="244">
        <f>M64*8*Q51</f>
        <v>248</v>
      </c>
      <c r="O64" s="297">
        <f>L64</f>
        <v>6.0270833333333327</v>
      </c>
      <c r="P64" s="298">
        <f>N64*O64</f>
        <v>1494.7166666666665</v>
      </c>
      <c r="Q64" s="298"/>
      <c r="R64" s="245">
        <f t="shared" si="31"/>
        <v>2893</v>
      </c>
      <c r="S64" s="243">
        <f>R64/168</f>
        <v>17.220238095238095</v>
      </c>
      <c r="T64" s="243">
        <v>40</v>
      </c>
      <c r="U64" s="242">
        <f>S64*C64</f>
        <v>6.0270833333333327</v>
      </c>
      <c r="V64" s="240">
        <f t="shared" si="40"/>
        <v>1</v>
      </c>
      <c r="W64" s="244">
        <f>V64*8*Z51</f>
        <v>224</v>
      </c>
      <c r="X64" s="297">
        <f>U64</f>
        <v>6.0270833333333327</v>
      </c>
      <c r="Y64" s="298">
        <f>W64*X64</f>
        <v>1350.0666666666666</v>
      </c>
      <c r="Z64" s="298"/>
      <c r="AA64" s="245">
        <f t="shared" si="32"/>
        <v>2893</v>
      </c>
      <c r="AB64" s="243">
        <f>AA64/159</f>
        <v>18.19496855345912</v>
      </c>
      <c r="AC64" s="243">
        <v>40</v>
      </c>
      <c r="AD64" s="242">
        <f>AB64*C64</f>
        <v>6.3682389937106914</v>
      </c>
      <c r="AE64" s="240">
        <f t="shared" si="41"/>
        <v>1</v>
      </c>
      <c r="AF64" s="244">
        <f>AE64*8*AI51</f>
        <v>248</v>
      </c>
      <c r="AG64" s="297">
        <f>AD64</f>
        <v>6.3682389937106914</v>
      </c>
      <c r="AH64" s="298">
        <f>AF64*AG64</f>
        <v>1579.3232704402515</v>
      </c>
      <c r="AI64" s="300"/>
      <c r="AJ64" s="245">
        <f t="shared" si="33"/>
        <v>2893</v>
      </c>
      <c r="AK64" s="243">
        <f>AJ64/167</f>
        <v>17.323353293413174</v>
      </c>
      <c r="AL64" s="243">
        <v>40</v>
      </c>
      <c r="AM64" s="242">
        <f>AK64*C64</f>
        <v>6.0631736526946103</v>
      </c>
      <c r="AN64" s="240">
        <f t="shared" si="42"/>
        <v>1</v>
      </c>
      <c r="AO64" s="244">
        <f>AN64*8*AR51</f>
        <v>240</v>
      </c>
      <c r="AP64" s="297">
        <f>AM64</f>
        <v>6.0631736526946103</v>
      </c>
      <c r="AQ64" s="298">
        <f>AO64*AP64</f>
        <v>1455.1616766467064</v>
      </c>
      <c r="AR64" s="300"/>
      <c r="AS64" s="245">
        <f t="shared" si="34"/>
        <v>2893</v>
      </c>
      <c r="AT64" s="243">
        <f>AS64/151</f>
        <v>19.158940397350992</v>
      </c>
      <c r="AU64" s="243">
        <v>40</v>
      </c>
      <c r="AV64" s="242">
        <f>AT64*C64</f>
        <v>6.7056291390728466</v>
      </c>
      <c r="AW64" s="240">
        <f t="shared" si="43"/>
        <v>1</v>
      </c>
      <c r="AX64" s="244">
        <f>AW64*8*BA51</f>
        <v>248</v>
      </c>
      <c r="AY64" s="297">
        <f>AV64</f>
        <v>6.7056291390728466</v>
      </c>
      <c r="AZ64" s="298">
        <f>AX64*AY64</f>
        <v>1662.996026490066</v>
      </c>
      <c r="BA64" s="300"/>
      <c r="BB64" s="245">
        <f t="shared" si="35"/>
        <v>2893</v>
      </c>
      <c r="BC64" s="243">
        <f>BB64/167</f>
        <v>17.323353293413174</v>
      </c>
      <c r="BD64" s="243">
        <v>40</v>
      </c>
      <c r="BE64" s="242">
        <f>BC64*C64</f>
        <v>6.0631736526946103</v>
      </c>
      <c r="BF64" s="240">
        <f t="shared" si="44"/>
        <v>1</v>
      </c>
      <c r="BG64" s="244">
        <f>BF64*8*BJ51</f>
        <v>240</v>
      </c>
      <c r="BH64" s="297">
        <f>BE64</f>
        <v>6.0631736526946103</v>
      </c>
      <c r="BI64" s="298">
        <f>BG64*BH64</f>
        <v>1455.1616766467064</v>
      </c>
      <c r="BJ64" s="300"/>
      <c r="BK64" s="245">
        <f t="shared" si="45"/>
        <v>2893</v>
      </c>
      <c r="BL64" s="243">
        <f>BK64/184</f>
        <v>15.722826086956522</v>
      </c>
      <c r="BM64" s="243">
        <v>40</v>
      </c>
      <c r="BN64" s="242">
        <f>BL64*C64</f>
        <v>5.5029891304347824</v>
      </c>
      <c r="BO64" s="240">
        <f t="shared" si="46"/>
        <v>1</v>
      </c>
      <c r="BP64" s="244">
        <f>BO64*8*BS51</f>
        <v>248</v>
      </c>
      <c r="BQ64" s="297">
        <f>BN64</f>
        <v>5.5029891304347824</v>
      </c>
      <c r="BR64" s="298">
        <f>BP64*BQ64</f>
        <v>1364.7413043478261</v>
      </c>
      <c r="BS64" s="300"/>
      <c r="BT64" s="245">
        <f t="shared" si="36"/>
        <v>2893</v>
      </c>
      <c r="BU64" s="243">
        <f>BT64/160</f>
        <v>18.081250000000001</v>
      </c>
      <c r="BV64" s="243">
        <v>40</v>
      </c>
      <c r="BW64" s="242">
        <f>BU64*C64</f>
        <v>6.3284374999999997</v>
      </c>
      <c r="BX64" s="240">
        <f t="shared" si="47"/>
        <v>1</v>
      </c>
      <c r="BY64" s="244">
        <f>BX64*8*CB51</f>
        <v>248</v>
      </c>
      <c r="BZ64" s="297">
        <f>BW64</f>
        <v>6.3284374999999997</v>
      </c>
      <c r="CA64" s="298">
        <f>BY64*BZ64</f>
        <v>1569.4524999999999</v>
      </c>
      <c r="CB64" s="300"/>
      <c r="CC64" s="245">
        <f t="shared" si="48"/>
        <v>2893</v>
      </c>
      <c r="CD64" s="243">
        <f>CC64/176</f>
        <v>16.4375</v>
      </c>
      <c r="CE64" s="243">
        <v>40</v>
      </c>
      <c r="CF64" s="242">
        <f>CD64*C64</f>
        <v>5.7531249999999998</v>
      </c>
      <c r="CG64" s="240">
        <f t="shared" si="49"/>
        <v>1</v>
      </c>
      <c r="CH64" s="244">
        <f>CG64*8*CK51</f>
        <v>240</v>
      </c>
      <c r="CI64" s="297">
        <f>CF64</f>
        <v>5.7531249999999998</v>
      </c>
      <c r="CJ64" s="298">
        <f>CH64*CI64</f>
        <v>1380.75</v>
      </c>
      <c r="CK64" s="300"/>
      <c r="CL64" s="245">
        <v>2982</v>
      </c>
      <c r="CM64" s="243">
        <f>CL64/184</f>
        <v>16.206521739130434</v>
      </c>
      <c r="CN64" s="243">
        <v>40</v>
      </c>
      <c r="CO64" s="242">
        <f>CM64*C64</f>
        <v>5.6722826086956513</v>
      </c>
      <c r="CP64" s="240">
        <f t="shared" si="50"/>
        <v>1</v>
      </c>
      <c r="CQ64" s="244">
        <f>CP64*8*CT51</f>
        <v>248</v>
      </c>
      <c r="CR64" s="297">
        <f>CO64</f>
        <v>5.6722826086956513</v>
      </c>
      <c r="CS64" s="298">
        <f>CQ64*CR64</f>
        <v>1406.7260869565216</v>
      </c>
      <c r="CT64" s="300"/>
      <c r="CU64" s="245">
        <f t="shared" si="37"/>
        <v>2982</v>
      </c>
      <c r="CV64" s="243">
        <f>CU64/160</f>
        <v>18.637499999999999</v>
      </c>
      <c r="CW64" s="243">
        <v>40</v>
      </c>
      <c r="CX64" s="242">
        <f>CV64*C64</f>
        <v>6.5231249999999994</v>
      </c>
      <c r="CY64" s="240">
        <f t="shared" si="51"/>
        <v>1</v>
      </c>
      <c r="CZ64" s="244">
        <f>CY64*8*DC51</f>
        <v>240</v>
      </c>
      <c r="DA64" s="297">
        <f>CX64</f>
        <v>6.5231249999999994</v>
      </c>
      <c r="DB64" s="298">
        <f>CZ64*DA64</f>
        <v>1565.55</v>
      </c>
      <c r="DC64" s="300"/>
      <c r="DD64" s="245">
        <f t="shared" si="38"/>
        <v>2982</v>
      </c>
      <c r="DE64" s="243">
        <f>DD64/183</f>
        <v>16.295081967213115</v>
      </c>
      <c r="DF64" s="243">
        <v>40</v>
      </c>
      <c r="DG64" s="242">
        <f>DE64*C64</f>
        <v>5.7032786885245894</v>
      </c>
      <c r="DH64" s="240">
        <f t="shared" si="52"/>
        <v>1</v>
      </c>
      <c r="DI64" s="244">
        <f>DH64*8*DL51</f>
        <v>248</v>
      </c>
      <c r="DJ64" s="297">
        <f>DG64</f>
        <v>5.7032786885245894</v>
      </c>
      <c r="DK64" s="298">
        <f>DI64*DJ64</f>
        <v>1414.4131147540982</v>
      </c>
      <c r="DL64" s="300"/>
      <c r="DM64" s="301">
        <f>N64+W64+AF64+AO64+AX64+BG64+BP64+BY64+CH64+CQ64+CZ64+DI64</f>
        <v>2920</v>
      </c>
      <c r="DN64" s="301">
        <f>P64+Y64+AH64+AQ64+AZ64+BI64+BR64+CA64+CJ64+CS64+DB64+DK64</f>
        <v>17699.058989615507</v>
      </c>
      <c r="DO64" s="378"/>
      <c r="DP64" s="378"/>
      <c r="DQ64" s="378"/>
    </row>
    <row r="65" spans="1:121" s="228" customFormat="1" ht="19.5">
      <c r="A65" s="248" t="s">
        <v>1711</v>
      </c>
      <c r="B65" s="282"/>
      <c r="C65" s="249"/>
      <c r="D65" s="250">
        <f>SUM(D53:D64)</f>
        <v>28</v>
      </c>
      <c r="E65" s="250">
        <f>SUM(E53:E64)</f>
        <v>224</v>
      </c>
      <c r="F65" s="250"/>
      <c r="G65" s="302"/>
      <c r="H65" s="241"/>
      <c r="I65" s="245"/>
      <c r="J65" s="250"/>
      <c r="K65" s="250"/>
      <c r="L65" s="250"/>
      <c r="M65" s="240">
        <f t="shared" si="39"/>
        <v>28</v>
      </c>
      <c r="N65" s="298">
        <f>SUM(N53:N64)</f>
        <v>6944</v>
      </c>
      <c r="O65" s="298"/>
      <c r="P65" s="298">
        <f>SUM(P53:P64)</f>
        <v>79157.155772005775</v>
      </c>
      <c r="Q65" s="298"/>
      <c r="R65" s="298"/>
      <c r="S65" s="298"/>
      <c r="T65" s="298"/>
      <c r="U65" s="298"/>
      <c r="V65" s="240">
        <f t="shared" si="40"/>
        <v>28</v>
      </c>
      <c r="W65" s="298">
        <f>SUM(W53:W64)</f>
        <v>6272</v>
      </c>
      <c r="X65" s="298"/>
      <c r="Y65" s="298">
        <f>SUM(Y53:Y64)</f>
        <v>71496.785858585863</v>
      </c>
      <c r="Z65" s="298"/>
      <c r="AA65" s="298"/>
      <c r="AB65" s="298"/>
      <c r="AC65" s="298"/>
      <c r="AD65" s="298"/>
      <c r="AE65" s="240">
        <f t="shared" si="41"/>
        <v>28</v>
      </c>
      <c r="AF65" s="298">
        <f>SUM(AF53:AF64)</f>
        <v>6944</v>
      </c>
      <c r="AG65" s="298"/>
      <c r="AH65" s="298">
        <f>SUM(AH53:AH64)</f>
        <v>83263.00102915951</v>
      </c>
      <c r="AI65" s="298"/>
      <c r="AJ65" s="298"/>
      <c r="AK65" s="298"/>
      <c r="AL65" s="298"/>
      <c r="AM65" s="298"/>
      <c r="AN65" s="240">
        <f t="shared" si="42"/>
        <v>28</v>
      </c>
      <c r="AO65" s="298">
        <f>SUM(AO53:AO64)</f>
        <v>6720</v>
      </c>
      <c r="AP65" s="298"/>
      <c r="AQ65" s="298">
        <f>SUM(AQ53:AQ64)</f>
        <v>76733.559271068269</v>
      </c>
      <c r="AR65" s="298"/>
      <c r="AS65" s="298"/>
      <c r="AT65" s="298"/>
      <c r="AU65" s="298"/>
      <c r="AV65" s="298"/>
      <c r="AW65" s="240">
        <f t="shared" si="43"/>
        <v>28</v>
      </c>
      <c r="AX65" s="298">
        <f>SUM(AX53:AX64)</f>
        <v>6448</v>
      </c>
      <c r="AY65" s="298"/>
      <c r="AZ65" s="298">
        <f>SUM(AZ53:AZ64)</f>
        <v>83728.547752886123</v>
      </c>
      <c r="BA65" s="298"/>
      <c r="BB65" s="298"/>
      <c r="BC65" s="298"/>
      <c r="BD65" s="298"/>
      <c r="BE65" s="298"/>
      <c r="BF65" s="240">
        <f t="shared" si="44"/>
        <v>28</v>
      </c>
      <c r="BG65" s="298">
        <f>SUM(BG53:BG64)</f>
        <v>6240</v>
      </c>
      <c r="BH65" s="298"/>
      <c r="BI65" s="298">
        <f>SUM(BI53:BI64)</f>
        <v>80353.559680727267</v>
      </c>
      <c r="BJ65" s="298"/>
      <c r="BK65" s="298"/>
      <c r="BL65" s="298"/>
      <c r="BM65" s="298"/>
      <c r="BN65" s="298"/>
      <c r="BO65" s="240">
        <f t="shared" si="46"/>
        <v>28</v>
      </c>
      <c r="BP65" s="298">
        <f>SUM(BP53:BP64)</f>
        <v>6448</v>
      </c>
      <c r="BQ65" s="298"/>
      <c r="BR65" s="298">
        <f>SUM(BR53:BR64)</f>
        <v>69052.890052700925</v>
      </c>
      <c r="BS65" s="298"/>
      <c r="BT65" s="298"/>
      <c r="BU65" s="298"/>
      <c r="BV65" s="298"/>
      <c r="BW65" s="298"/>
      <c r="BX65" s="240">
        <f t="shared" si="47"/>
        <v>28</v>
      </c>
      <c r="BY65" s="298">
        <f>SUM(BY53:BY64)</f>
        <v>6448</v>
      </c>
      <c r="BZ65" s="298"/>
      <c r="CA65" s="298">
        <f>SUM(CA53:CA64)</f>
        <v>79410.823560606048</v>
      </c>
      <c r="CB65" s="298"/>
      <c r="CC65" s="298"/>
      <c r="CD65" s="298"/>
      <c r="CE65" s="298"/>
      <c r="CF65" s="298"/>
      <c r="CG65" s="240">
        <f t="shared" si="49"/>
        <v>28</v>
      </c>
      <c r="CH65" s="298">
        <f>SUM(CH53:CH64)</f>
        <v>6240</v>
      </c>
      <c r="CI65" s="298"/>
      <c r="CJ65" s="298">
        <f>SUM(CJ53:CJ64)</f>
        <v>69862.894628099166</v>
      </c>
      <c r="CK65" s="298"/>
      <c r="CL65" s="298"/>
      <c r="CM65" s="298"/>
      <c r="CN65" s="298"/>
      <c r="CO65" s="298"/>
      <c r="CP65" s="240">
        <f t="shared" si="50"/>
        <v>28</v>
      </c>
      <c r="CQ65" s="298">
        <f>SUM(CQ53:CQ64)</f>
        <v>6944</v>
      </c>
      <c r="CR65" s="298"/>
      <c r="CS65" s="298">
        <f>SUM(CS53:CS64)</f>
        <v>74497.720600414075</v>
      </c>
      <c r="CT65" s="298"/>
      <c r="CU65" s="298"/>
      <c r="CV65" s="298"/>
      <c r="CW65" s="298"/>
      <c r="CX65" s="298"/>
      <c r="CY65" s="240">
        <f t="shared" si="51"/>
        <v>28</v>
      </c>
      <c r="CZ65" s="298">
        <f>SUM(CZ53:CZ64)</f>
        <v>6720</v>
      </c>
      <c r="DA65" s="298"/>
      <c r="DB65" s="298">
        <f>SUM(DB53:DB64)</f>
        <v>82908.753571428562</v>
      </c>
      <c r="DC65" s="298"/>
      <c r="DD65" s="298"/>
      <c r="DE65" s="298"/>
      <c r="DF65" s="298"/>
      <c r="DG65" s="298"/>
      <c r="DH65" s="240">
        <f t="shared" si="52"/>
        <v>28</v>
      </c>
      <c r="DI65" s="298">
        <f>SUM(DI53:DI64)</f>
        <v>6944</v>
      </c>
      <c r="DJ65" s="298"/>
      <c r="DK65" s="298">
        <f>SUM(DK53:DK64)</f>
        <v>74612.96746427723</v>
      </c>
      <c r="DL65" s="298"/>
      <c r="DM65" s="301">
        <f>SUM(DM53:DM64)</f>
        <v>79312</v>
      </c>
      <c r="DN65" s="332">
        <f>SUM(DN53:DN64)</f>
        <v>925078.65924195899</v>
      </c>
      <c r="DO65" s="382">
        <f>[38]ФОП!$AB$10+[38]ФОП!$AB$11+[38]ФОП!$AB$12+[38]ФОП!$AB$13</f>
        <v>711843.91999999993</v>
      </c>
      <c r="DP65" s="380">
        <f>DN65-DO66</f>
        <v>70865.955241959076</v>
      </c>
      <c r="DQ65" s="377" t="s">
        <v>1741</v>
      </c>
    </row>
    <row r="66" spans="1:121" s="251" customFormat="1">
      <c r="A66" s="333"/>
      <c r="B66" s="334"/>
      <c r="C66" s="335"/>
      <c r="D66" s="336"/>
      <c r="E66" s="336"/>
      <c r="F66" s="336"/>
      <c r="G66" s="337"/>
      <c r="H66" s="338"/>
      <c r="I66" s="339"/>
      <c r="J66" s="268"/>
      <c r="K66" s="268"/>
      <c r="L66" s="268"/>
      <c r="M66" s="266"/>
      <c r="N66" s="340"/>
      <c r="O66" s="340"/>
      <c r="P66" s="340"/>
      <c r="Q66" s="340"/>
      <c r="R66" s="340"/>
      <c r="S66" s="340"/>
      <c r="T66" s="340"/>
      <c r="U66" s="340"/>
      <c r="V66" s="340"/>
      <c r="W66" s="340"/>
      <c r="X66" s="340"/>
      <c r="Y66" s="340"/>
      <c r="Z66" s="341"/>
      <c r="AA66" s="341"/>
      <c r="AB66" s="341"/>
      <c r="AC66" s="341"/>
      <c r="AD66" s="341"/>
      <c r="AE66" s="341"/>
      <c r="AF66" s="340"/>
      <c r="AG66" s="340"/>
      <c r="AH66" s="340"/>
      <c r="AI66" s="341"/>
      <c r="AJ66" s="340"/>
      <c r="AK66" s="340"/>
      <c r="AL66" s="340"/>
      <c r="AM66" s="340"/>
      <c r="AN66" s="340"/>
      <c r="AO66" s="340"/>
      <c r="AP66" s="340"/>
      <c r="AQ66" s="340"/>
      <c r="AR66" s="341"/>
      <c r="AS66" s="341"/>
      <c r="AT66" s="341"/>
      <c r="AU66" s="341"/>
      <c r="AV66" s="341"/>
      <c r="AW66" s="341"/>
      <c r="AX66" s="340"/>
      <c r="AY66" s="340"/>
      <c r="AZ66" s="340"/>
      <c r="BA66" s="341"/>
      <c r="BB66" s="341"/>
      <c r="BC66" s="341"/>
      <c r="BD66" s="341"/>
      <c r="BE66" s="341"/>
      <c r="BF66" s="341"/>
      <c r="BG66" s="340"/>
      <c r="BH66" s="340"/>
      <c r="BI66" s="340"/>
      <c r="BJ66" s="341"/>
      <c r="BK66" s="341"/>
      <c r="BL66" s="341"/>
      <c r="BM66" s="341"/>
      <c r="BN66" s="341"/>
      <c r="BO66" s="341"/>
      <c r="BP66" s="341"/>
      <c r="BQ66" s="341"/>
      <c r="BR66" s="341"/>
      <c r="BS66" s="341"/>
      <c r="BT66" s="341"/>
      <c r="BU66" s="341"/>
      <c r="BV66" s="341"/>
      <c r="BW66" s="341"/>
      <c r="BX66" s="341"/>
      <c r="BY66" s="341"/>
      <c r="BZ66" s="341"/>
      <c r="CA66" s="341"/>
      <c r="CB66" s="341"/>
      <c r="CC66" s="341"/>
      <c r="CD66" s="341"/>
      <c r="CE66" s="341"/>
      <c r="CF66" s="341"/>
      <c r="CG66" s="341"/>
      <c r="CH66" s="341"/>
      <c r="CI66" s="341"/>
      <c r="CJ66" s="341"/>
      <c r="CK66" s="341"/>
      <c r="CL66" s="341"/>
      <c r="CM66" s="341"/>
      <c r="CN66" s="341"/>
      <c r="CO66" s="341"/>
      <c r="CP66" s="341"/>
      <c r="CQ66" s="341"/>
      <c r="CR66" s="341"/>
      <c r="CS66" s="341"/>
      <c r="CT66" s="341"/>
      <c r="CU66" s="341"/>
      <c r="CV66" s="341"/>
      <c r="CW66" s="341"/>
      <c r="CX66" s="341"/>
      <c r="CY66" s="341"/>
      <c r="CZ66" s="341"/>
      <c r="DA66" s="341"/>
      <c r="DB66" s="341"/>
      <c r="DC66" s="341"/>
      <c r="DD66" s="341"/>
      <c r="DE66" s="341"/>
      <c r="DF66" s="341"/>
      <c r="DG66" s="341"/>
      <c r="DH66" s="341"/>
      <c r="DI66" s="341"/>
      <c r="DJ66" s="341"/>
      <c r="DK66" s="341"/>
      <c r="DL66" s="341"/>
      <c r="DM66" s="269"/>
      <c r="DO66" s="732">
        <f>DO65/10*12</f>
        <v>854212.70399999991</v>
      </c>
      <c r="DP66" s="377"/>
      <c r="DQ66" s="377"/>
    </row>
    <row r="67" spans="1:121" s="334" customFormat="1">
      <c r="A67" s="343"/>
      <c r="B67" s="344"/>
      <c r="C67" s="1671" t="s">
        <v>1694</v>
      </c>
      <c r="D67" s="1672"/>
      <c r="E67" s="1672"/>
      <c r="F67" s="1672"/>
      <c r="G67" s="1673"/>
      <c r="H67" s="338"/>
      <c r="I67" s="345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346"/>
      <c r="AH67" s="269"/>
      <c r="DM67" s="269"/>
      <c r="DN67" s="342"/>
      <c r="DO67" s="337"/>
      <c r="DP67" s="337"/>
      <c r="DQ67" s="337"/>
    </row>
    <row r="68" spans="1:121" s="356" customFormat="1" ht="39">
      <c r="A68" s="347" t="s">
        <v>1730</v>
      </c>
      <c r="B68" s="348" t="s">
        <v>1719</v>
      </c>
      <c r="C68" s="349" t="s">
        <v>1720</v>
      </c>
      <c r="D68" s="349" t="s">
        <v>1988</v>
      </c>
      <c r="E68" s="349" t="s">
        <v>1989</v>
      </c>
      <c r="F68" s="349" t="s">
        <v>1721</v>
      </c>
      <c r="G68" s="350" t="s">
        <v>1542</v>
      </c>
      <c r="H68" s="351"/>
      <c r="I68" s="352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  <c r="AG68" s="353"/>
      <c r="AH68" s="268"/>
      <c r="AI68" s="268"/>
      <c r="AJ68" s="268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68"/>
      <c r="AY68" s="268"/>
      <c r="AZ68" s="268"/>
      <c r="BA68" s="268"/>
      <c r="BB68" s="268"/>
      <c r="BC68" s="268"/>
      <c r="BD68" s="268"/>
      <c r="BE68" s="268"/>
      <c r="BF68" s="268"/>
      <c r="BG68" s="268"/>
      <c r="BH68" s="268"/>
      <c r="BI68" s="354"/>
      <c r="BJ68" s="268"/>
      <c r="BK68" s="268"/>
      <c r="BL68" s="268"/>
      <c r="BM68" s="268"/>
      <c r="BN68" s="268"/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8"/>
      <c r="BZ68" s="268"/>
      <c r="CA68" s="268"/>
      <c r="CB68" s="268"/>
      <c r="CC68" s="268"/>
      <c r="CD68" s="268"/>
      <c r="CE68" s="268"/>
      <c r="CF68" s="268"/>
      <c r="CG68" s="268"/>
      <c r="CH68" s="268"/>
      <c r="CI68" s="268"/>
      <c r="CJ68" s="268"/>
      <c r="CK68" s="268"/>
      <c r="CL68" s="268"/>
      <c r="CM68" s="268"/>
      <c r="CN68" s="268"/>
      <c r="CO68" s="268"/>
      <c r="CP68" s="268"/>
      <c r="CQ68" s="268"/>
      <c r="CR68" s="268"/>
      <c r="CS68" s="268"/>
      <c r="CT68" s="268"/>
      <c r="CU68" s="268"/>
      <c r="CV68" s="268"/>
      <c r="CW68" s="268"/>
      <c r="CX68" s="268"/>
      <c r="CY68" s="268"/>
      <c r="CZ68" s="268"/>
      <c r="DA68" s="268"/>
      <c r="DB68" s="268"/>
      <c r="DC68" s="268"/>
      <c r="DD68" s="268"/>
      <c r="DE68" s="268"/>
      <c r="DF68" s="268"/>
      <c r="DG68" s="268"/>
      <c r="DH68" s="268"/>
      <c r="DI68" s="268"/>
      <c r="DJ68" s="268"/>
      <c r="DK68" s="268"/>
      <c r="DL68" s="268"/>
      <c r="DM68" s="334"/>
      <c r="DN68" s="355"/>
      <c r="DO68" s="377"/>
      <c r="DP68" s="377"/>
      <c r="DQ68" s="377"/>
    </row>
    <row r="69" spans="1:121" s="362" customFormat="1">
      <c r="A69" s="357" t="s">
        <v>755</v>
      </c>
      <c r="B69" s="358">
        <f>B34</f>
        <v>15</v>
      </c>
      <c r="C69" s="359">
        <v>1</v>
      </c>
      <c r="D69" s="359">
        <v>2</v>
      </c>
      <c r="E69" s="359">
        <v>1</v>
      </c>
      <c r="F69" s="359"/>
      <c r="G69" s="350">
        <f t="shared" ref="G69:G79" si="54">C69+D69+E69+F69</f>
        <v>4</v>
      </c>
      <c r="H69" s="360"/>
      <c r="I69" s="361"/>
      <c r="J69" s="353"/>
      <c r="K69" s="353"/>
      <c r="L69" s="353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353"/>
      <c r="AJ69" s="353"/>
      <c r="AK69" s="353"/>
      <c r="AL69" s="353"/>
      <c r="AM69" s="353"/>
      <c r="AN69" s="353"/>
      <c r="AO69" s="353"/>
      <c r="AP69" s="353"/>
      <c r="AQ69" s="353"/>
      <c r="AR69" s="353"/>
      <c r="AS69" s="353"/>
      <c r="AT69" s="353"/>
      <c r="AU69" s="353"/>
      <c r="AV69" s="353"/>
      <c r="AW69" s="353"/>
      <c r="AX69" s="353"/>
      <c r="AY69" s="353"/>
      <c r="AZ69" s="353"/>
      <c r="BA69" s="353"/>
      <c r="BB69" s="353"/>
      <c r="BC69" s="353"/>
      <c r="BD69" s="353"/>
      <c r="BE69" s="353"/>
      <c r="BF69" s="353"/>
      <c r="BG69" s="353"/>
      <c r="BH69" s="353"/>
      <c r="BI69" s="353"/>
      <c r="BJ69" s="353"/>
      <c r="BK69" s="353"/>
      <c r="BL69" s="353"/>
      <c r="BM69" s="353"/>
      <c r="BN69" s="353"/>
      <c r="BO69" s="353"/>
      <c r="BP69" s="353"/>
      <c r="BQ69" s="353"/>
      <c r="BR69" s="353"/>
      <c r="BS69" s="353"/>
      <c r="BT69" s="353"/>
      <c r="BU69" s="353"/>
      <c r="BV69" s="353"/>
      <c r="BW69" s="353"/>
      <c r="BX69" s="353"/>
      <c r="BY69" s="353"/>
      <c r="BZ69" s="353"/>
      <c r="CA69" s="353"/>
      <c r="CB69" s="353"/>
      <c r="CC69" s="353"/>
      <c r="CD69" s="353"/>
      <c r="CE69" s="353"/>
      <c r="CF69" s="353"/>
      <c r="CG69" s="353"/>
      <c r="CH69" s="353"/>
      <c r="CI69" s="353"/>
      <c r="CJ69" s="353"/>
      <c r="CK69" s="353"/>
      <c r="CL69" s="353"/>
      <c r="CM69" s="353"/>
      <c r="CN69" s="353"/>
      <c r="CO69" s="353"/>
      <c r="CP69" s="353"/>
      <c r="CQ69" s="353"/>
      <c r="CR69" s="353"/>
      <c r="CS69" s="353"/>
      <c r="CT69" s="353"/>
      <c r="CU69" s="353"/>
      <c r="CV69" s="353"/>
      <c r="CW69" s="353"/>
      <c r="CX69" s="353"/>
      <c r="CY69" s="353"/>
      <c r="CZ69" s="353"/>
      <c r="DA69" s="353"/>
      <c r="DB69" s="353"/>
      <c r="DC69" s="353"/>
      <c r="DD69" s="353"/>
      <c r="DE69" s="353"/>
      <c r="DF69" s="353"/>
      <c r="DG69" s="353"/>
      <c r="DH69" s="353"/>
      <c r="DI69" s="353"/>
      <c r="DJ69" s="353"/>
      <c r="DK69" s="353"/>
      <c r="DL69" s="353"/>
      <c r="DM69" s="346"/>
      <c r="DN69" s="346"/>
      <c r="DO69" s="377"/>
      <c r="DP69" s="377"/>
      <c r="DQ69" s="377"/>
    </row>
    <row r="70" spans="1:121" s="362" customFormat="1">
      <c r="A70" s="357" t="s">
        <v>756</v>
      </c>
      <c r="B70" s="358">
        <f t="shared" ref="B70:B79" si="55">B35</f>
        <v>20</v>
      </c>
      <c r="C70" s="359"/>
      <c r="D70" s="359">
        <v>1</v>
      </c>
      <c r="E70" s="359">
        <v>1</v>
      </c>
      <c r="F70" s="359"/>
      <c r="G70" s="350">
        <f t="shared" si="54"/>
        <v>2</v>
      </c>
      <c r="H70" s="360"/>
      <c r="I70" s="361"/>
      <c r="J70" s="353"/>
      <c r="K70" s="353"/>
      <c r="L70" s="353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353"/>
      <c r="AJ70" s="353"/>
      <c r="AK70" s="353"/>
      <c r="AL70" s="353"/>
      <c r="AM70" s="353"/>
      <c r="AN70" s="353"/>
      <c r="AO70" s="353"/>
      <c r="AP70" s="353"/>
      <c r="AQ70" s="353"/>
      <c r="AR70" s="353"/>
      <c r="AS70" s="353"/>
      <c r="AT70" s="353"/>
      <c r="AU70" s="353"/>
      <c r="AV70" s="353"/>
      <c r="AW70" s="353"/>
      <c r="AX70" s="353"/>
      <c r="AY70" s="353"/>
      <c r="AZ70" s="353"/>
      <c r="BA70" s="353"/>
      <c r="BB70" s="353"/>
      <c r="BC70" s="353"/>
      <c r="BD70" s="353"/>
      <c r="BE70" s="353"/>
      <c r="BF70" s="353"/>
      <c r="BG70" s="353"/>
      <c r="BH70" s="353"/>
      <c r="BI70" s="353"/>
      <c r="BJ70" s="353"/>
      <c r="BK70" s="353"/>
      <c r="BL70" s="353"/>
      <c r="BM70" s="353"/>
      <c r="BN70" s="353"/>
      <c r="BO70" s="353"/>
      <c r="BP70" s="353"/>
      <c r="BQ70" s="353"/>
      <c r="BR70" s="353"/>
      <c r="BS70" s="353"/>
      <c r="BT70" s="353"/>
      <c r="BU70" s="353"/>
      <c r="BV70" s="353"/>
      <c r="BW70" s="353"/>
      <c r="BX70" s="353"/>
      <c r="BY70" s="353"/>
      <c r="BZ70" s="353"/>
      <c r="CA70" s="353"/>
      <c r="CB70" s="353"/>
      <c r="CC70" s="353"/>
      <c r="CD70" s="353"/>
      <c r="CE70" s="353"/>
      <c r="CF70" s="353"/>
      <c r="CG70" s="353"/>
      <c r="CH70" s="353"/>
      <c r="CI70" s="353"/>
      <c r="CJ70" s="353"/>
      <c r="CK70" s="353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3"/>
      <c r="CY70" s="353"/>
      <c r="CZ70" s="353"/>
      <c r="DA70" s="353"/>
      <c r="DB70" s="353"/>
      <c r="DC70" s="353"/>
      <c r="DD70" s="353"/>
      <c r="DE70" s="353"/>
      <c r="DF70" s="353"/>
      <c r="DG70" s="353"/>
      <c r="DH70" s="353"/>
      <c r="DI70" s="353"/>
      <c r="DJ70" s="353"/>
      <c r="DK70" s="353"/>
      <c r="DL70" s="353"/>
      <c r="DM70" s="346"/>
      <c r="DN70" s="346"/>
      <c r="DO70" s="377"/>
      <c r="DP70" s="377"/>
      <c r="DQ70" s="377"/>
    </row>
    <row r="71" spans="1:121" s="362" customFormat="1">
      <c r="A71" s="357" t="s">
        <v>757</v>
      </c>
      <c r="B71" s="358">
        <f t="shared" si="55"/>
        <v>30</v>
      </c>
      <c r="C71" s="359"/>
      <c r="D71" s="359">
        <v>1</v>
      </c>
      <c r="E71" s="359">
        <v>1</v>
      </c>
      <c r="F71" s="359"/>
      <c r="G71" s="350">
        <f t="shared" si="54"/>
        <v>2</v>
      </c>
      <c r="H71" s="360"/>
      <c r="I71" s="361"/>
      <c r="J71" s="353"/>
      <c r="K71" s="353"/>
      <c r="L71" s="353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  <c r="AT71" s="353"/>
      <c r="AU71" s="353"/>
      <c r="AV71" s="353"/>
      <c r="AW71" s="353"/>
      <c r="AX71" s="353"/>
      <c r="AY71" s="353"/>
      <c r="AZ71" s="353"/>
      <c r="BA71" s="353"/>
      <c r="BB71" s="353"/>
      <c r="BC71" s="353"/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/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  <c r="CY71" s="353"/>
      <c r="CZ71" s="353"/>
      <c r="DA71" s="353"/>
      <c r="DB71" s="353"/>
      <c r="DC71" s="353"/>
      <c r="DD71" s="353"/>
      <c r="DE71" s="353"/>
      <c r="DF71" s="353"/>
      <c r="DG71" s="353"/>
      <c r="DH71" s="353"/>
      <c r="DI71" s="353"/>
      <c r="DJ71" s="353"/>
      <c r="DK71" s="353"/>
      <c r="DL71" s="353"/>
      <c r="DM71" s="346"/>
      <c r="DN71" s="346"/>
      <c r="DO71" s="377"/>
      <c r="DP71" s="377"/>
      <c r="DQ71" s="377"/>
    </row>
    <row r="72" spans="1:121" s="362" customFormat="1">
      <c r="A72" s="357" t="s">
        <v>758</v>
      </c>
      <c r="B72" s="358">
        <f t="shared" si="55"/>
        <v>30</v>
      </c>
      <c r="C72" s="359"/>
      <c r="D72" s="359">
        <v>1</v>
      </c>
      <c r="E72" s="359">
        <v>1</v>
      </c>
      <c r="F72" s="359"/>
      <c r="G72" s="350">
        <f t="shared" si="54"/>
        <v>2</v>
      </c>
      <c r="H72" s="360"/>
      <c r="I72" s="361"/>
      <c r="J72" s="353"/>
      <c r="K72" s="353"/>
      <c r="L72" s="353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353"/>
      <c r="AJ72" s="353"/>
      <c r="AK72" s="353"/>
      <c r="AL72" s="353"/>
      <c r="AM72" s="353"/>
      <c r="AN72" s="353"/>
      <c r="AO72" s="353"/>
      <c r="AP72" s="353"/>
      <c r="AQ72" s="353"/>
      <c r="AR72" s="353"/>
      <c r="AS72" s="353"/>
      <c r="AT72" s="353"/>
      <c r="AU72" s="353"/>
      <c r="AV72" s="353"/>
      <c r="AW72" s="353"/>
      <c r="AX72" s="353"/>
      <c r="AY72" s="353"/>
      <c r="AZ72" s="353"/>
      <c r="BA72" s="353"/>
      <c r="BB72" s="353"/>
      <c r="BC72" s="353"/>
      <c r="BD72" s="353"/>
      <c r="BE72" s="353"/>
      <c r="BF72" s="353"/>
      <c r="BG72" s="353"/>
      <c r="BH72" s="353"/>
      <c r="BI72" s="353"/>
      <c r="BJ72" s="353"/>
      <c r="BK72" s="353"/>
      <c r="BL72" s="353"/>
      <c r="BM72" s="353"/>
      <c r="BN72" s="353"/>
      <c r="BO72" s="353"/>
      <c r="BP72" s="353"/>
      <c r="BQ72" s="353"/>
      <c r="BR72" s="353"/>
      <c r="BS72" s="353"/>
      <c r="BT72" s="353"/>
      <c r="BU72" s="353"/>
      <c r="BV72" s="353"/>
      <c r="BW72" s="353"/>
      <c r="BX72" s="353"/>
      <c r="BY72" s="353"/>
      <c r="BZ72" s="353"/>
      <c r="CA72" s="353"/>
      <c r="CB72" s="353"/>
      <c r="CC72" s="353"/>
      <c r="CD72" s="353"/>
      <c r="CE72" s="353"/>
      <c r="CF72" s="353"/>
      <c r="CG72" s="353"/>
      <c r="CH72" s="353"/>
      <c r="CI72" s="353"/>
      <c r="CJ72" s="353"/>
      <c r="CK72" s="353"/>
      <c r="CL72" s="353"/>
      <c r="CM72" s="353"/>
      <c r="CN72" s="353"/>
      <c r="CO72" s="353"/>
      <c r="CP72" s="353"/>
      <c r="CQ72" s="353"/>
      <c r="CR72" s="353"/>
      <c r="CS72" s="353"/>
      <c r="CT72" s="353"/>
      <c r="CU72" s="353"/>
      <c r="CV72" s="353"/>
      <c r="CW72" s="353"/>
      <c r="CX72" s="353"/>
      <c r="CY72" s="353"/>
      <c r="CZ72" s="353"/>
      <c r="DA72" s="353"/>
      <c r="DB72" s="353"/>
      <c r="DC72" s="353"/>
      <c r="DD72" s="353"/>
      <c r="DE72" s="353"/>
      <c r="DF72" s="353"/>
      <c r="DG72" s="353"/>
      <c r="DH72" s="353"/>
      <c r="DI72" s="353"/>
      <c r="DJ72" s="353"/>
      <c r="DK72" s="353"/>
      <c r="DL72" s="353"/>
      <c r="DM72" s="346"/>
      <c r="DN72" s="346"/>
      <c r="DO72" s="377"/>
      <c r="DP72" s="377"/>
      <c r="DQ72" s="377"/>
    </row>
    <row r="73" spans="1:121" s="362" customFormat="1">
      <c r="A73" s="357" t="s">
        <v>1722</v>
      </c>
      <c r="B73" s="358">
        <f t="shared" si="55"/>
        <v>10</v>
      </c>
      <c r="C73" s="359"/>
      <c r="D73" s="359">
        <v>1</v>
      </c>
      <c r="E73" s="359">
        <v>1</v>
      </c>
      <c r="F73" s="359"/>
      <c r="G73" s="350">
        <f t="shared" si="54"/>
        <v>2</v>
      </c>
      <c r="H73" s="360"/>
      <c r="I73" s="361"/>
      <c r="J73" s="353"/>
      <c r="K73" s="353"/>
      <c r="L73" s="353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353"/>
      <c r="AJ73" s="353"/>
      <c r="AK73" s="353"/>
      <c r="AL73" s="353"/>
      <c r="AM73" s="353"/>
      <c r="AN73" s="353"/>
      <c r="AO73" s="353"/>
      <c r="AP73" s="353"/>
      <c r="AQ73" s="353"/>
      <c r="AR73" s="353"/>
      <c r="AS73" s="353"/>
      <c r="AT73" s="353"/>
      <c r="AU73" s="353"/>
      <c r="AV73" s="353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353"/>
      <c r="BW73" s="353"/>
      <c r="BX73" s="353"/>
      <c r="BY73" s="353"/>
      <c r="BZ73" s="353"/>
      <c r="CA73" s="353"/>
      <c r="CB73" s="353"/>
      <c r="CC73" s="353"/>
      <c r="CD73" s="353"/>
      <c r="CE73" s="353"/>
      <c r="CF73" s="353"/>
      <c r="CG73" s="353"/>
      <c r="CH73" s="353"/>
      <c r="CI73" s="353"/>
      <c r="CJ73" s="353"/>
      <c r="CK73" s="353"/>
      <c r="CL73" s="353"/>
      <c r="CM73" s="353"/>
      <c r="CN73" s="353"/>
      <c r="CO73" s="353"/>
      <c r="CP73" s="353"/>
      <c r="CQ73" s="353"/>
      <c r="CR73" s="353"/>
      <c r="CS73" s="353"/>
      <c r="CT73" s="353"/>
      <c r="CU73" s="353"/>
      <c r="CV73" s="353"/>
      <c r="CW73" s="353"/>
      <c r="CX73" s="353"/>
      <c r="CY73" s="353"/>
      <c r="CZ73" s="353"/>
      <c r="DA73" s="353"/>
      <c r="DB73" s="353"/>
      <c r="DC73" s="353"/>
      <c r="DD73" s="353"/>
      <c r="DE73" s="353"/>
      <c r="DF73" s="353"/>
      <c r="DG73" s="353"/>
      <c r="DH73" s="353"/>
      <c r="DI73" s="353"/>
      <c r="DJ73" s="353"/>
      <c r="DK73" s="353"/>
      <c r="DL73" s="353"/>
      <c r="DM73" s="346"/>
      <c r="DN73" s="346"/>
      <c r="DO73" s="377"/>
      <c r="DP73" s="377"/>
      <c r="DQ73" s="377"/>
    </row>
    <row r="74" spans="1:121" s="362" customFormat="1">
      <c r="A74" s="357" t="s">
        <v>759</v>
      </c>
      <c r="B74" s="358">
        <f t="shared" si="55"/>
        <v>40</v>
      </c>
      <c r="C74" s="359">
        <v>1</v>
      </c>
      <c r="D74" s="359">
        <v>1</v>
      </c>
      <c r="E74" s="359">
        <v>1</v>
      </c>
      <c r="F74" s="359"/>
      <c r="G74" s="350">
        <f t="shared" si="54"/>
        <v>3</v>
      </c>
      <c r="H74" s="360"/>
      <c r="I74" s="361"/>
      <c r="J74" s="353"/>
      <c r="K74" s="353"/>
      <c r="L74" s="353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353"/>
      <c r="AJ74" s="353"/>
      <c r="AK74" s="353"/>
      <c r="AL74" s="353"/>
      <c r="AM74" s="353"/>
      <c r="AN74" s="353"/>
      <c r="AO74" s="353"/>
      <c r="AP74" s="353"/>
      <c r="AQ74" s="353"/>
      <c r="AR74" s="353"/>
      <c r="AS74" s="353"/>
      <c r="AT74" s="353"/>
      <c r="AU74" s="353"/>
      <c r="AV74" s="353"/>
      <c r="AW74" s="353"/>
      <c r="AX74" s="353"/>
      <c r="AY74" s="353"/>
      <c r="AZ74" s="353"/>
      <c r="BA74" s="353"/>
      <c r="BB74" s="353"/>
      <c r="BC74" s="353"/>
      <c r="BD74" s="353"/>
      <c r="BE74" s="353"/>
      <c r="BF74" s="353"/>
      <c r="BG74" s="353"/>
      <c r="BH74" s="353"/>
      <c r="BI74" s="353"/>
      <c r="BJ74" s="353"/>
      <c r="BK74" s="353"/>
      <c r="BL74" s="353"/>
      <c r="BM74" s="353"/>
      <c r="BN74" s="353"/>
      <c r="BO74" s="353"/>
      <c r="BP74" s="353"/>
      <c r="BQ74" s="353"/>
      <c r="BR74" s="353"/>
      <c r="BS74" s="353"/>
      <c r="BT74" s="353"/>
      <c r="BU74" s="353"/>
      <c r="BV74" s="353"/>
      <c r="BW74" s="353"/>
      <c r="BX74" s="353"/>
      <c r="BY74" s="353"/>
      <c r="BZ74" s="353"/>
      <c r="CA74" s="353"/>
      <c r="CB74" s="353"/>
      <c r="CC74" s="353"/>
      <c r="CD74" s="353"/>
      <c r="CE74" s="353"/>
      <c r="CF74" s="353"/>
      <c r="CG74" s="353"/>
      <c r="CH74" s="353"/>
      <c r="CI74" s="353"/>
      <c r="CJ74" s="353"/>
      <c r="CK74" s="353"/>
      <c r="CL74" s="353"/>
      <c r="CM74" s="353"/>
      <c r="CN74" s="353"/>
      <c r="CO74" s="353"/>
      <c r="CP74" s="353"/>
      <c r="CQ74" s="353"/>
      <c r="CR74" s="353"/>
      <c r="CS74" s="353"/>
      <c r="CT74" s="353"/>
      <c r="CU74" s="353"/>
      <c r="CV74" s="353"/>
      <c r="CW74" s="353"/>
      <c r="CX74" s="353"/>
      <c r="CY74" s="353"/>
      <c r="CZ74" s="353"/>
      <c r="DA74" s="353"/>
      <c r="DB74" s="353"/>
      <c r="DC74" s="353"/>
      <c r="DD74" s="353"/>
      <c r="DE74" s="353"/>
      <c r="DF74" s="353"/>
      <c r="DG74" s="353"/>
      <c r="DH74" s="353"/>
      <c r="DI74" s="353"/>
      <c r="DJ74" s="353"/>
      <c r="DK74" s="353"/>
      <c r="DL74" s="353"/>
      <c r="DM74" s="346"/>
      <c r="DN74" s="346"/>
      <c r="DO74" s="377"/>
      <c r="DP74" s="377"/>
      <c r="DQ74" s="377"/>
    </row>
    <row r="75" spans="1:121" s="362" customFormat="1">
      <c r="A75" s="357" t="s">
        <v>1723</v>
      </c>
      <c r="B75" s="358">
        <f t="shared" si="55"/>
        <v>0</v>
      </c>
      <c r="C75" s="359"/>
      <c r="D75" s="359">
        <v>1</v>
      </c>
      <c r="E75" s="359">
        <v>1</v>
      </c>
      <c r="F75" s="359"/>
      <c r="G75" s="350">
        <f t="shared" si="54"/>
        <v>2</v>
      </c>
      <c r="H75" s="360"/>
      <c r="I75" s="361"/>
      <c r="J75" s="353"/>
      <c r="K75" s="353"/>
      <c r="L75" s="353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353"/>
      <c r="AJ75" s="353"/>
      <c r="AK75" s="353"/>
      <c r="AL75" s="353"/>
      <c r="AM75" s="353"/>
      <c r="AN75" s="353"/>
      <c r="AO75" s="353"/>
      <c r="AP75" s="353"/>
      <c r="AQ75" s="353"/>
      <c r="AR75" s="353"/>
      <c r="AS75" s="353"/>
      <c r="AT75" s="353"/>
      <c r="AU75" s="353"/>
      <c r="AV75" s="353"/>
      <c r="AW75" s="353"/>
      <c r="AX75" s="353"/>
      <c r="AY75" s="353"/>
      <c r="AZ75" s="353"/>
      <c r="BA75" s="353"/>
      <c r="BB75" s="353"/>
      <c r="BC75" s="353"/>
      <c r="BD75" s="353"/>
      <c r="BE75" s="353"/>
      <c r="BF75" s="353"/>
      <c r="BG75" s="353"/>
      <c r="BH75" s="353"/>
      <c r="BI75" s="353"/>
      <c r="BJ75" s="353"/>
      <c r="BK75" s="353"/>
      <c r="BL75" s="353"/>
      <c r="BM75" s="353"/>
      <c r="BN75" s="353"/>
      <c r="BO75" s="353"/>
      <c r="BP75" s="353"/>
      <c r="BQ75" s="353"/>
      <c r="BR75" s="353"/>
      <c r="BS75" s="353"/>
      <c r="BT75" s="353"/>
      <c r="BU75" s="353"/>
      <c r="BV75" s="353"/>
      <c r="BW75" s="353"/>
      <c r="BX75" s="353"/>
      <c r="BY75" s="353"/>
      <c r="BZ75" s="353"/>
      <c r="CA75" s="353"/>
      <c r="CB75" s="353"/>
      <c r="CC75" s="353"/>
      <c r="CD75" s="353"/>
      <c r="CE75" s="353"/>
      <c r="CF75" s="353"/>
      <c r="CG75" s="353"/>
      <c r="CH75" s="353"/>
      <c r="CI75" s="353"/>
      <c r="CJ75" s="353"/>
      <c r="CK75" s="353"/>
      <c r="CL75" s="353"/>
      <c r="CM75" s="353"/>
      <c r="CN75" s="353"/>
      <c r="CO75" s="353"/>
      <c r="CP75" s="353"/>
      <c r="CQ75" s="353"/>
      <c r="CR75" s="353"/>
      <c r="CS75" s="353"/>
      <c r="CT75" s="353"/>
      <c r="CU75" s="353"/>
      <c r="CV75" s="353"/>
      <c r="CW75" s="353"/>
      <c r="CX75" s="353"/>
      <c r="CY75" s="353"/>
      <c r="CZ75" s="353"/>
      <c r="DA75" s="353"/>
      <c r="DB75" s="353"/>
      <c r="DC75" s="353"/>
      <c r="DD75" s="353"/>
      <c r="DE75" s="353"/>
      <c r="DF75" s="353"/>
      <c r="DG75" s="353"/>
      <c r="DH75" s="353"/>
      <c r="DI75" s="353"/>
      <c r="DJ75" s="353"/>
      <c r="DK75" s="353"/>
      <c r="DL75" s="353"/>
      <c r="DM75" s="346"/>
      <c r="DN75" s="346"/>
      <c r="DO75" s="377"/>
      <c r="DP75" s="377"/>
      <c r="DQ75" s="377"/>
    </row>
    <row r="76" spans="1:121" s="362" customFormat="1">
      <c r="A76" s="357" t="s">
        <v>1724</v>
      </c>
      <c r="B76" s="358">
        <f t="shared" si="55"/>
        <v>6</v>
      </c>
      <c r="C76" s="359">
        <v>1</v>
      </c>
      <c r="D76" s="359">
        <v>2</v>
      </c>
      <c r="E76" s="359">
        <v>1</v>
      </c>
      <c r="F76" s="359"/>
      <c r="G76" s="350">
        <f t="shared" si="54"/>
        <v>4</v>
      </c>
      <c r="H76" s="360"/>
      <c r="I76" s="361"/>
      <c r="J76" s="353"/>
      <c r="K76" s="353"/>
      <c r="L76" s="353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3"/>
      <c r="AU76" s="353"/>
      <c r="AV76" s="353"/>
      <c r="AW76" s="353"/>
      <c r="AX76" s="353"/>
      <c r="AY76" s="353"/>
      <c r="AZ76" s="353"/>
      <c r="BA76" s="353"/>
      <c r="BB76" s="353"/>
      <c r="BC76" s="353"/>
      <c r="BD76" s="353"/>
      <c r="BE76" s="353"/>
      <c r="BF76" s="353"/>
      <c r="BG76" s="353"/>
      <c r="BH76" s="353"/>
      <c r="BI76" s="353"/>
      <c r="BJ76" s="353"/>
      <c r="BK76" s="353"/>
      <c r="BL76" s="353"/>
      <c r="BM76" s="353"/>
      <c r="BN76" s="353"/>
      <c r="BO76" s="353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353"/>
      <c r="DF76" s="353"/>
      <c r="DG76" s="353"/>
      <c r="DH76" s="353"/>
      <c r="DI76" s="353"/>
      <c r="DJ76" s="353"/>
      <c r="DK76" s="353"/>
      <c r="DL76" s="353"/>
      <c r="DM76" s="346"/>
      <c r="DN76" s="346"/>
      <c r="DO76" s="377"/>
      <c r="DP76" s="377"/>
      <c r="DQ76" s="377"/>
    </row>
    <row r="77" spans="1:121" s="362" customFormat="1">
      <c r="A77" s="357" t="s">
        <v>1725</v>
      </c>
      <c r="B77" s="358">
        <f t="shared" si="55"/>
        <v>0</v>
      </c>
      <c r="C77" s="359"/>
      <c r="D77" s="359">
        <v>1</v>
      </c>
      <c r="E77" s="359"/>
      <c r="F77" s="359"/>
      <c r="G77" s="350">
        <f t="shared" si="54"/>
        <v>1</v>
      </c>
      <c r="H77" s="360"/>
      <c r="I77" s="361"/>
      <c r="J77" s="353"/>
      <c r="K77" s="353"/>
      <c r="L77" s="353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353"/>
      <c r="AJ77" s="353"/>
      <c r="AK77" s="353"/>
      <c r="AL77" s="353"/>
      <c r="AM77" s="353"/>
      <c r="AN77" s="353"/>
      <c r="AO77" s="353"/>
      <c r="AP77" s="353"/>
      <c r="AQ77" s="353"/>
      <c r="AR77" s="353"/>
      <c r="AS77" s="353"/>
      <c r="AT77" s="353"/>
      <c r="AU77" s="353"/>
      <c r="AV77" s="353"/>
      <c r="AW77" s="353"/>
      <c r="AX77" s="353"/>
      <c r="AY77" s="353"/>
      <c r="AZ77" s="353"/>
      <c r="BA77" s="353"/>
      <c r="BB77" s="353"/>
      <c r="BC77" s="353"/>
      <c r="BD77" s="353"/>
      <c r="BE77" s="353"/>
      <c r="BF77" s="353"/>
      <c r="BG77" s="353"/>
      <c r="BH77" s="353"/>
      <c r="BI77" s="353"/>
      <c r="BJ77" s="353"/>
      <c r="BK77" s="353"/>
      <c r="BL77" s="353"/>
      <c r="BM77" s="353"/>
      <c r="BN77" s="353"/>
      <c r="BO77" s="353"/>
      <c r="BP77" s="353"/>
      <c r="BQ77" s="353"/>
      <c r="BR77" s="353"/>
      <c r="BS77" s="353"/>
      <c r="BT77" s="353"/>
      <c r="BU77" s="353"/>
      <c r="BV77" s="353"/>
      <c r="BW77" s="353"/>
      <c r="BX77" s="353"/>
      <c r="BY77" s="353"/>
      <c r="BZ77" s="353"/>
      <c r="CA77" s="353"/>
      <c r="CB77" s="353"/>
      <c r="CC77" s="353"/>
      <c r="CD77" s="353"/>
      <c r="CE77" s="353"/>
      <c r="CF77" s="353"/>
      <c r="CG77" s="353"/>
      <c r="CH77" s="353"/>
      <c r="CI77" s="353"/>
      <c r="CJ77" s="353"/>
      <c r="CK77" s="353"/>
      <c r="CL77" s="353"/>
      <c r="CM77" s="353"/>
      <c r="CN77" s="353"/>
      <c r="CO77" s="353"/>
      <c r="CP77" s="353"/>
      <c r="CQ77" s="353"/>
      <c r="CR77" s="353"/>
      <c r="CS77" s="353"/>
      <c r="CT77" s="353"/>
      <c r="CU77" s="353"/>
      <c r="CV77" s="353"/>
      <c r="CW77" s="353"/>
      <c r="CX77" s="353"/>
      <c r="CY77" s="353"/>
      <c r="CZ77" s="353"/>
      <c r="DA77" s="353"/>
      <c r="DB77" s="353"/>
      <c r="DC77" s="353"/>
      <c r="DD77" s="353"/>
      <c r="DE77" s="353"/>
      <c r="DF77" s="353"/>
      <c r="DG77" s="353"/>
      <c r="DH77" s="353"/>
      <c r="DI77" s="353"/>
      <c r="DJ77" s="353"/>
      <c r="DK77" s="353"/>
      <c r="DL77" s="353"/>
      <c r="DM77" s="346"/>
      <c r="DN77" s="346"/>
      <c r="DO77" s="377"/>
      <c r="DP77" s="377"/>
      <c r="DQ77" s="377"/>
    </row>
    <row r="78" spans="1:121" s="362" customFormat="1">
      <c r="A78" s="357" t="s">
        <v>1726</v>
      </c>
      <c r="B78" s="358">
        <f t="shared" si="55"/>
        <v>0</v>
      </c>
      <c r="C78" s="359">
        <v>1</v>
      </c>
      <c r="D78" s="359">
        <v>1</v>
      </c>
      <c r="E78" s="359">
        <v>1</v>
      </c>
      <c r="F78" s="359"/>
      <c r="G78" s="350">
        <f t="shared" si="54"/>
        <v>3</v>
      </c>
      <c r="H78" s="360"/>
      <c r="I78" s="361"/>
      <c r="J78" s="353"/>
      <c r="K78" s="353"/>
      <c r="L78" s="353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353"/>
      <c r="AJ78" s="353"/>
      <c r="AK78" s="353"/>
      <c r="AL78" s="353"/>
      <c r="AM78" s="353"/>
      <c r="AN78" s="353"/>
      <c r="AO78" s="353"/>
      <c r="AP78" s="353"/>
      <c r="AQ78" s="353"/>
      <c r="AR78" s="353"/>
      <c r="AS78" s="353"/>
      <c r="AT78" s="353"/>
      <c r="AU78" s="353"/>
      <c r="AV78" s="353"/>
      <c r="AW78" s="353"/>
      <c r="AX78" s="353"/>
      <c r="AY78" s="353"/>
      <c r="AZ78" s="353"/>
      <c r="BA78" s="353"/>
      <c r="BB78" s="353"/>
      <c r="BC78" s="353"/>
      <c r="BD78" s="353"/>
      <c r="BE78" s="353"/>
      <c r="BF78" s="353"/>
      <c r="BG78" s="353"/>
      <c r="BH78" s="353"/>
      <c r="BI78" s="353"/>
      <c r="BJ78" s="353"/>
      <c r="BK78" s="353"/>
      <c r="BL78" s="353"/>
      <c r="BM78" s="353"/>
      <c r="BN78" s="353"/>
      <c r="BO78" s="353"/>
      <c r="BP78" s="353"/>
      <c r="BQ78" s="353"/>
      <c r="BR78" s="353"/>
      <c r="BS78" s="353"/>
      <c r="BT78" s="353"/>
      <c r="BU78" s="353"/>
      <c r="BV78" s="353"/>
      <c r="BW78" s="353"/>
      <c r="BX78" s="353"/>
      <c r="BY78" s="353"/>
      <c r="BZ78" s="353"/>
      <c r="CA78" s="353"/>
      <c r="CB78" s="353"/>
      <c r="CC78" s="353"/>
      <c r="CD78" s="353"/>
      <c r="CE78" s="353"/>
      <c r="CF78" s="353"/>
      <c r="CG78" s="353"/>
      <c r="CH78" s="353"/>
      <c r="CI78" s="353"/>
      <c r="CJ78" s="353"/>
      <c r="CK78" s="353"/>
      <c r="CL78" s="353"/>
      <c r="CM78" s="353"/>
      <c r="CN78" s="353"/>
      <c r="CO78" s="353"/>
      <c r="CP78" s="353"/>
      <c r="CQ78" s="353"/>
      <c r="CR78" s="353"/>
      <c r="CS78" s="353"/>
      <c r="CT78" s="353"/>
      <c r="CU78" s="353"/>
      <c r="CV78" s="353"/>
      <c r="CW78" s="353"/>
      <c r="CX78" s="353"/>
      <c r="CY78" s="353"/>
      <c r="CZ78" s="353"/>
      <c r="DA78" s="353"/>
      <c r="DB78" s="353"/>
      <c r="DC78" s="353"/>
      <c r="DD78" s="353"/>
      <c r="DE78" s="353"/>
      <c r="DF78" s="353"/>
      <c r="DG78" s="353"/>
      <c r="DH78" s="353"/>
      <c r="DI78" s="353"/>
      <c r="DJ78" s="353"/>
      <c r="DK78" s="353"/>
      <c r="DL78" s="353"/>
      <c r="DM78" s="346"/>
      <c r="DN78" s="346"/>
      <c r="DO78" s="377"/>
      <c r="DP78" s="377"/>
      <c r="DQ78" s="377"/>
    </row>
    <row r="79" spans="1:121" s="362" customFormat="1">
      <c r="A79" s="357" t="s">
        <v>1727</v>
      </c>
      <c r="B79" s="358">
        <f t="shared" si="55"/>
        <v>0</v>
      </c>
      <c r="C79" s="359"/>
      <c r="D79" s="359"/>
      <c r="E79" s="359"/>
      <c r="F79" s="359">
        <v>3</v>
      </c>
      <c r="G79" s="350">
        <f t="shared" si="54"/>
        <v>3</v>
      </c>
      <c r="H79" s="360"/>
      <c r="I79" s="361"/>
      <c r="J79" s="353"/>
      <c r="K79" s="353"/>
      <c r="L79" s="353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353"/>
      <c r="AJ79" s="353"/>
      <c r="AK79" s="353"/>
      <c r="AL79" s="353"/>
      <c r="AM79" s="353"/>
      <c r="AN79" s="353"/>
      <c r="AO79" s="353"/>
      <c r="AP79" s="353"/>
      <c r="AQ79" s="353"/>
      <c r="AR79" s="353"/>
      <c r="AS79" s="353"/>
      <c r="AT79" s="353"/>
      <c r="AU79" s="353"/>
      <c r="AV79" s="353"/>
      <c r="AW79" s="353"/>
      <c r="AX79" s="353"/>
      <c r="AY79" s="353"/>
      <c r="AZ79" s="353"/>
      <c r="BA79" s="353"/>
      <c r="BB79" s="353"/>
      <c r="BC79" s="353"/>
      <c r="BD79" s="353"/>
      <c r="BE79" s="353"/>
      <c r="BF79" s="353"/>
      <c r="BG79" s="353"/>
      <c r="BH79" s="353"/>
      <c r="BI79" s="353"/>
      <c r="BJ79" s="353"/>
      <c r="BK79" s="353"/>
      <c r="BL79" s="353"/>
      <c r="BM79" s="353"/>
      <c r="BN79" s="353"/>
      <c r="BO79" s="353"/>
      <c r="BP79" s="353"/>
      <c r="BQ79" s="353"/>
      <c r="BR79" s="353"/>
      <c r="BS79" s="353"/>
      <c r="BT79" s="353"/>
      <c r="BU79" s="353"/>
      <c r="BV79" s="353"/>
      <c r="BW79" s="353"/>
      <c r="BX79" s="353"/>
      <c r="BY79" s="353"/>
      <c r="BZ79" s="353"/>
      <c r="CA79" s="353"/>
      <c r="CB79" s="353"/>
      <c r="CC79" s="353"/>
      <c r="CD79" s="353"/>
      <c r="CE79" s="353"/>
      <c r="CF79" s="353"/>
      <c r="CG79" s="353"/>
      <c r="CH79" s="353"/>
      <c r="CI79" s="353"/>
      <c r="CJ79" s="353"/>
      <c r="CK79" s="353"/>
      <c r="CL79" s="353"/>
      <c r="CM79" s="353"/>
      <c r="CN79" s="353"/>
      <c r="CO79" s="353"/>
      <c r="CP79" s="353"/>
      <c r="CQ79" s="353"/>
      <c r="CR79" s="353"/>
      <c r="CS79" s="353"/>
      <c r="CT79" s="353"/>
      <c r="CU79" s="353"/>
      <c r="CV79" s="353"/>
      <c r="CW79" s="353"/>
      <c r="CX79" s="353"/>
      <c r="CY79" s="353"/>
      <c r="CZ79" s="353"/>
      <c r="DA79" s="353"/>
      <c r="DB79" s="353"/>
      <c r="DC79" s="353"/>
      <c r="DD79" s="353"/>
      <c r="DE79" s="353"/>
      <c r="DF79" s="353"/>
      <c r="DG79" s="353"/>
      <c r="DH79" s="353"/>
      <c r="DI79" s="353"/>
      <c r="DJ79" s="353"/>
      <c r="DK79" s="353"/>
      <c r="DL79" s="353"/>
      <c r="DM79" s="346"/>
      <c r="DN79" s="346"/>
      <c r="DO79" s="377"/>
      <c r="DP79" s="377"/>
      <c r="DQ79" s="377"/>
    </row>
    <row r="80" spans="1:121" s="252" customFormat="1">
      <c r="A80" s="363"/>
      <c r="B80" s="364">
        <f>SUM(B69:B74)</f>
        <v>145</v>
      </c>
      <c r="C80" s="363">
        <f>SUM(C69:C79)</f>
        <v>4</v>
      </c>
      <c r="D80" s="363">
        <f>SUM(D69:D79)</f>
        <v>12</v>
      </c>
      <c r="E80" s="363">
        <f>SUM(E69:E79)</f>
        <v>9</v>
      </c>
      <c r="F80" s="363">
        <f>SUM(F69:F79)</f>
        <v>3</v>
      </c>
      <c r="G80" s="363">
        <f>SUM(G69:G79)</f>
        <v>28</v>
      </c>
      <c r="H80" s="371"/>
      <c r="I80" s="345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346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69"/>
      <c r="AV80" s="269"/>
      <c r="AW80" s="269"/>
      <c r="AX80" s="269"/>
      <c r="AY80" s="269"/>
      <c r="AZ80" s="269"/>
      <c r="BA80" s="269"/>
      <c r="BB80" s="269"/>
      <c r="BC80" s="269"/>
      <c r="BD80" s="269"/>
      <c r="BE80" s="269"/>
      <c r="BF80" s="269"/>
      <c r="BG80" s="269"/>
      <c r="BH80" s="269"/>
      <c r="BI80" s="269"/>
      <c r="BJ80" s="269"/>
      <c r="BK80" s="269"/>
      <c r="BL80" s="269"/>
      <c r="BM80" s="269"/>
      <c r="BN80" s="269"/>
      <c r="BO80" s="269"/>
      <c r="BP80" s="269"/>
      <c r="BQ80" s="269"/>
      <c r="BR80" s="269"/>
      <c r="BS80" s="269"/>
      <c r="BT80" s="269"/>
      <c r="BU80" s="269"/>
      <c r="BV80" s="269"/>
      <c r="BW80" s="269"/>
      <c r="BX80" s="269"/>
      <c r="BY80" s="269"/>
      <c r="BZ80" s="269"/>
      <c r="CA80" s="269"/>
      <c r="CB80" s="269"/>
      <c r="CC80" s="269"/>
      <c r="CD80" s="269"/>
      <c r="CE80" s="269"/>
      <c r="CF80" s="269"/>
      <c r="CG80" s="269"/>
      <c r="CH80" s="269"/>
      <c r="CI80" s="269"/>
      <c r="CJ80" s="269"/>
      <c r="CK80" s="269"/>
      <c r="CL80" s="269"/>
      <c r="CM80" s="269"/>
      <c r="CN80" s="269"/>
      <c r="CO80" s="269"/>
      <c r="CP80" s="269"/>
      <c r="CQ80" s="269"/>
      <c r="CR80" s="269"/>
      <c r="CS80" s="269"/>
      <c r="CT80" s="269"/>
      <c r="CU80" s="269"/>
      <c r="CV80" s="269"/>
      <c r="CW80" s="269"/>
      <c r="CX80" s="269"/>
      <c r="CY80" s="269"/>
      <c r="CZ80" s="269"/>
      <c r="DA80" s="269"/>
      <c r="DB80" s="269"/>
      <c r="DC80" s="269"/>
      <c r="DD80" s="269"/>
      <c r="DE80" s="269"/>
      <c r="DF80" s="269"/>
      <c r="DG80" s="269"/>
      <c r="DH80" s="269"/>
      <c r="DI80" s="269"/>
      <c r="DJ80" s="269"/>
      <c r="DK80" s="269"/>
      <c r="DL80" s="269"/>
      <c r="DM80" s="269"/>
      <c r="DN80" s="269"/>
      <c r="DO80" s="337"/>
      <c r="DP80" s="337"/>
      <c r="DQ80" s="337"/>
    </row>
    <row r="81" spans="1:121" s="283" customFormat="1">
      <c r="A81" s="334"/>
      <c r="B81" s="334"/>
      <c r="C81" s="334">
        <f>C80-D53-D54</f>
        <v>0</v>
      </c>
      <c r="D81" s="334">
        <f>D80-D56-D57</f>
        <v>0</v>
      </c>
      <c r="E81" s="334">
        <f>E80-D59-D60</f>
        <v>0</v>
      </c>
      <c r="F81" s="334">
        <f>F80-D62-D64</f>
        <v>0</v>
      </c>
      <c r="G81" s="372">
        <f>G80-D65</f>
        <v>0</v>
      </c>
      <c r="H81" s="373"/>
      <c r="I81" s="288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  <c r="AA81" s="334"/>
      <c r="AB81" s="334"/>
      <c r="AC81" s="334"/>
      <c r="AD81" s="334"/>
      <c r="AE81" s="334"/>
      <c r="AF81" s="334"/>
      <c r="AG81" s="334"/>
      <c r="AH81" s="334"/>
      <c r="AI81" s="334"/>
      <c r="AJ81" s="334"/>
      <c r="AK81" s="334"/>
      <c r="AL81" s="334"/>
      <c r="AM81" s="334"/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334"/>
      <c r="AZ81" s="334"/>
      <c r="BA81" s="334"/>
      <c r="BB81" s="334"/>
      <c r="BC81" s="334"/>
      <c r="BD81" s="334"/>
      <c r="BE81" s="334"/>
      <c r="BF81" s="334"/>
      <c r="BG81" s="334"/>
      <c r="BH81" s="334"/>
      <c r="BI81" s="334"/>
      <c r="BJ81" s="334"/>
      <c r="BK81" s="334"/>
      <c r="BL81" s="334"/>
      <c r="BM81" s="334"/>
      <c r="BN81" s="334"/>
      <c r="BO81" s="334"/>
      <c r="BP81" s="334"/>
      <c r="BQ81" s="334"/>
      <c r="BR81" s="334"/>
      <c r="BS81" s="334"/>
      <c r="BT81" s="334"/>
      <c r="BU81" s="334"/>
      <c r="BV81" s="334"/>
      <c r="BW81" s="334"/>
      <c r="BX81" s="334"/>
      <c r="BY81" s="334"/>
      <c r="BZ81" s="334"/>
      <c r="CA81" s="334"/>
      <c r="CB81" s="334"/>
      <c r="CC81" s="334"/>
      <c r="CD81" s="334"/>
      <c r="CE81" s="334"/>
      <c r="CF81" s="334"/>
      <c r="CG81" s="334"/>
      <c r="CH81" s="334"/>
      <c r="CI81" s="334"/>
      <c r="CJ81" s="334"/>
      <c r="CK81" s="334"/>
      <c r="CL81" s="334"/>
      <c r="CM81" s="334"/>
      <c r="CN81" s="334"/>
      <c r="CO81" s="334"/>
      <c r="CP81" s="334"/>
      <c r="CQ81" s="334"/>
      <c r="CR81" s="334"/>
      <c r="CS81" s="334"/>
      <c r="CT81" s="334"/>
      <c r="CU81" s="334"/>
      <c r="CV81" s="334"/>
      <c r="CW81" s="334"/>
      <c r="CX81" s="334"/>
      <c r="CY81" s="334"/>
      <c r="CZ81" s="334"/>
      <c r="DA81" s="334"/>
      <c r="DB81" s="334"/>
      <c r="DC81" s="334"/>
      <c r="DD81" s="334"/>
      <c r="DE81" s="334"/>
      <c r="DF81" s="334"/>
      <c r="DG81" s="334"/>
      <c r="DH81" s="334"/>
      <c r="DI81" s="334"/>
      <c r="DJ81" s="334"/>
      <c r="DK81" s="334"/>
      <c r="DL81" s="334"/>
      <c r="DM81" s="334"/>
      <c r="DN81" s="334"/>
      <c r="DO81" s="337"/>
      <c r="DP81" s="337"/>
      <c r="DQ81" s="337"/>
    </row>
    <row r="82" spans="1:121" s="251" customFormat="1">
      <c r="A82" s="262" t="s">
        <v>1859</v>
      </c>
      <c r="B82" s="263">
        <v>1</v>
      </c>
      <c r="C82" s="263">
        <v>2</v>
      </c>
      <c r="D82" s="263">
        <v>3</v>
      </c>
      <c r="E82" s="263">
        <v>4</v>
      </c>
      <c r="F82" s="263">
        <v>5</v>
      </c>
      <c r="G82" s="263">
        <v>6</v>
      </c>
      <c r="H82" s="263">
        <v>7</v>
      </c>
      <c r="I82" s="264">
        <v>8</v>
      </c>
      <c r="J82" s="263">
        <v>9</v>
      </c>
      <c r="K82" s="263">
        <v>10</v>
      </c>
      <c r="L82" s="263">
        <v>11</v>
      </c>
      <c r="M82" s="263">
        <v>12</v>
      </c>
      <c r="N82" s="265" t="s">
        <v>1731</v>
      </c>
      <c r="O82" s="265" t="s">
        <v>1732</v>
      </c>
      <c r="P82" s="265" t="s">
        <v>1733</v>
      </c>
      <c r="Q82" s="265" t="s">
        <v>1734</v>
      </c>
      <c r="R82" s="265" t="s">
        <v>1997</v>
      </c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7"/>
      <c r="AH82" s="266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8"/>
      <c r="BL82" s="268"/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8"/>
      <c r="CC82" s="268"/>
      <c r="CD82" s="268"/>
      <c r="CE82" s="268"/>
      <c r="CF82" s="268"/>
      <c r="CG82" s="268"/>
      <c r="CH82" s="268"/>
      <c r="CI82" s="268"/>
      <c r="CJ82" s="268"/>
      <c r="CK82" s="268"/>
      <c r="CL82" s="268"/>
      <c r="CM82" s="268"/>
      <c r="CN82" s="268"/>
      <c r="CO82" s="268"/>
      <c r="CP82" s="268"/>
      <c r="CQ82" s="268"/>
      <c r="CR82" s="268"/>
      <c r="CS82" s="268"/>
      <c r="CT82" s="268"/>
      <c r="CU82" s="268"/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8"/>
      <c r="DH82" s="268"/>
      <c r="DI82" s="268"/>
      <c r="DJ82" s="268"/>
      <c r="DK82" s="268"/>
      <c r="DL82" s="268"/>
      <c r="DM82" s="269"/>
      <c r="DN82" s="269"/>
      <c r="DO82" s="377"/>
      <c r="DP82" s="377"/>
      <c r="DQ82" s="377"/>
    </row>
    <row r="83" spans="1:121" s="251" customFormat="1">
      <c r="A83" s="270" t="s">
        <v>1793</v>
      </c>
      <c r="B83" s="263"/>
      <c r="C83" s="263"/>
      <c r="D83" s="263"/>
      <c r="E83" s="263"/>
      <c r="F83" s="263"/>
      <c r="G83" s="263"/>
      <c r="H83" s="263"/>
      <c r="I83" s="264"/>
      <c r="J83" s="263"/>
      <c r="K83" s="263"/>
      <c r="L83" s="263"/>
      <c r="M83" s="263"/>
      <c r="N83" s="271">
        <f t="shared" ref="N83:N89" si="56">B83+C83+D83</f>
        <v>0</v>
      </c>
      <c r="O83" s="271">
        <f>E83+F83+G83</f>
        <v>0</v>
      </c>
      <c r="P83" s="271">
        <f>H83+I83+J83</f>
        <v>0</v>
      </c>
      <c r="Q83" s="271">
        <f>K83+L83+M83</f>
        <v>0</v>
      </c>
      <c r="R83" s="271">
        <f>SUM(N83:Q83)</f>
        <v>0</v>
      </c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7"/>
      <c r="AH83" s="266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  <c r="BI83" s="268"/>
      <c r="BJ83" s="268"/>
      <c r="BK83" s="268"/>
      <c r="BL83" s="268"/>
      <c r="BM83" s="268"/>
      <c r="BN83" s="268"/>
      <c r="BO83" s="268"/>
      <c r="BP83" s="268"/>
      <c r="BQ83" s="268"/>
      <c r="BR83" s="268"/>
      <c r="BS83" s="268"/>
      <c r="BT83" s="268"/>
      <c r="BU83" s="268"/>
      <c r="BV83" s="268"/>
      <c r="BW83" s="268"/>
      <c r="BX83" s="268"/>
      <c r="BY83" s="268"/>
      <c r="BZ83" s="268"/>
      <c r="CA83" s="268"/>
      <c r="CB83" s="268"/>
      <c r="CC83" s="268"/>
      <c r="CD83" s="268"/>
      <c r="CE83" s="268"/>
      <c r="CF83" s="268"/>
      <c r="CG83" s="268"/>
      <c r="CH83" s="268"/>
      <c r="CI83" s="268"/>
      <c r="CJ83" s="268"/>
      <c r="CK83" s="268"/>
      <c r="CL83" s="268"/>
      <c r="CM83" s="268"/>
      <c r="CN83" s="268"/>
      <c r="CO83" s="268"/>
      <c r="CP83" s="268"/>
      <c r="CQ83" s="268"/>
      <c r="CR83" s="268"/>
      <c r="CS83" s="268"/>
      <c r="CT83" s="268"/>
      <c r="CU83" s="268"/>
      <c r="CV83" s="268"/>
      <c r="CW83" s="268"/>
      <c r="CX83" s="268"/>
      <c r="CY83" s="268"/>
      <c r="CZ83" s="268"/>
      <c r="DA83" s="268"/>
      <c r="DB83" s="268"/>
      <c r="DC83" s="268"/>
      <c r="DD83" s="268"/>
      <c r="DE83" s="268"/>
      <c r="DF83" s="268"/>
      <c r="DG83" s="268"/>
      <c r="DH83" s="268"/>
      <c r="DI83" s="268"/>
      <c r="DJ83" s="268"/>
      <c r="DK83" s="268"/>
      <c r="DL83" s="268"/>
      <c r="DM83" s="269"/>
      <c r="DN83" s="269"/>
      <c r="DO83" s="377"/>
      <c r="DP83" s="377"/>
      <c r="DQ83" s="377"/>
    </row>
    <row r="84" spans="1:121" s="251" customFormat="1">
      <c r="A84" s="270" t="s">
        <v>1790</v>
      </c>
      <c r="B84" s="263"/>
      <c r="C84" s="263"/>
      <c r="D84" s="263"/>
      <c r="E84" s="263"/>
      <c r="F84" s="263"/>
      <c r="G84" s="263"/>
      <c r="H84" s="263"/>
      <c r="I84" s="264"/>
      <c r="J84" s="263"/>
      <c r="K84" s="263"/>
      <c r="L84" s="263"/>
      <c r="M84" s="263"/>
      <c r="N84" s="271">
        <f t="shared" si="56"/>
        <v>0</v>
      </c>
      <c r="O84" s="271">
        <f t="shared" ref="O84:O89" si="57">E84+F84+G84</f>
        <v>0</v>
      </c>
      <c r="P84" s="271">
        <f t="shared" ref="P84:P89" si="58">H84+I84+J84</f>
        <v>0</v>
      </c>
      <c r="Q84" s="271">
        <f t="shared" ref="Q84:Q89" si="59">K84+L84+M84</f>
        <v>0</v>
      </c>
      <c r="R84" s="271">
        <f t="shared" ref="R84:R89" si="60">SUM(N84:Q84)</f>
        <v>0</v>
      </c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7"/>
      <c r="AH84" s="266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  <c r="BI84" s="268"/>
      <c r="BJ84" s="268"/>
      <c r="BK84" s="268"/>
      <c r="BL84" s="268"/>
      <c r="BM84" s="268"/>
      <c r="BN84" s="268"/>
      <c r="BO84" s="268"/>
      <c r="BP84" s="268"/>
      <c r="BQ84" s="268"/>
      <c r="BR84" s="268"/>
      <c r="BS84" s="268"/>
      <c r="BT84" s="268"/>
      <c r="BU84" s="268"/>
      <c r="BV84" s="268"/>
      <c r="BW84" s="268"/>
      <c r="BX84" s="268"/>
      <c r="BY84" s="268"/>
      <c r="BZ84" s="268"/>
      <c r="CA84" s="268"/>
      <c r="CB84" s="268"/>
      <c r="CC84" s="268"/>
      <c r="CD84" s="268"/>
      <c r="CE84" s="268"/>
      <c r="CF84" s="268"/>
      <c r="CG84" s="268"/>
      <c r="CH84" s="268"/>
      <c r="CI84" s="268"/>
      <c r="CJ84" s="268"/>
      <c r="CK84" s="268"/>
      <c r="CL84" s="268"/>
      <c r="CM84" s="268"/>
      <c r="CN84" s="268"/>
      <c r="CO84" s="268"/>
      <c r="CP84" s="268"/>
      <c r="CQ84" s="268"/>
      <c r="CR84" s="268"/>
      <c r="CS84" s="268"/>
      <c r="CT84" s="268"/>
      <c r="CU84" s="268"/>
      <c r="CV84" s="268"/>
      <c r="CW84" s="268"/>
      <c r="CX84" s="268"/>
      <c r="CY84" s="268"/>
      <c r="CZ84" s="268"/>
      <c r="DA84" s="268"/>
      <c r="DB84" s="268"/>
      <c r="DC84" s="268"/>
      <c r="DD84" s="268"/>
      <c r="DE84" s="268"/>
      <c r="DF84" s="268"/>
      <c r="DG84" s="268"/>
      <c r="DH84" s="268"/>
      <c r="DI84" s="268"/>
      <c r="DJ84" s="268"/>
      <c r="DK84" s="268"/>
      <c r="DL84" s="268"/>
      <c r="DM84" s="269"/>
      <c r="DN84" s="269"/>
      <c r="DO84" s="377"/>
      <c r="DP84" s="377"/>
      <c r="DQ84" s="377"/>
    </row>
    <row r="85" spans="1:121" s="251" customFormat="1">
      <c r="A85" s="270" t="s">
        <v>1904</v>
      </c>
      <c r="B85" s="272">
        <f>P53+P54</f>
        <v>17753.57410843125</v>
      </c>
      <c r="C85" s="272">
        <f>Y53+Y54</f>
        <v>16035.486291486293</v>
      </c>
      <c r="D85" s="272">
        <f>AH53+AH54</f>
        <v>18641.252813852814</v>
      </c>
      <c r="E85" s="272">
        <f>AQ53+AQ54</f>
        <v>17180.878169449599</v>
      </c>
      <c r="F85" s="272">
        <f>AZ53+AZ54</f>
        <v>19622.371383002959</v>
      </c>
      <c r="G85" s="272">
        <f>BI53+BI54</f>
        <v>18989.391660970607</v>
      </c>
      <c r="H85" s="272">
        <f>BR53+BR54</f>
        <v>16209.785055524186</v>
      </c>
      <c r="I85" s="273">
        <f>CA53+CA54</f>
        <v>18641.252813852814</v>
      </c>
      <c r="J85" s="272">
        <f>CJ53+CJ54</f>
        <v>16399.929161747343</v>
      </c>
      <c r="K85" s="272">
        <f>CS53+CS54</f>
        <v>16708.79578392622</v>
      </c>
      <c r="L85" s="272">
        <f>DB53+DB54</f>
        <v>18595.272727272728</v>
      </c>
      <c r="M85" s="272">
        <f>DK53+DK54</f>
        <v>16708.79578392622</v>
      </c>
      <c r="N85" s="271">
        <f t="shared" si="56"/>
        <v>52430.313213770358</v>
      </c>
      <c r="O85" s="271">
        <f>E85+F85+G85</f>
        <v>55792.641213423165</v>
      </c>
      <c r="P85" s="271">
        <f t="shared" si="58"/>
        <v>51250.967031124346</v>
      </c>
      <c r="Q85" s="271">
        <f t="shared" si="59"/>
        <v>52012.864295125168</v>
      </c>
      <c r="R85" s="271">
        <f t="shared" si="60"/>
        <v>211486.78575344302</v>
      </c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7"/>
      <c r="AH85" s="266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  <c r="BI85" s="268"/>
      <c r="BJ85" s="268"/>
      <c r="BK85" s="268"/>
      <c r="BL85" s="268"/>
      <c r="BM85" s="268"/>
      <c r="BN85" s="268"/>
      <c r="BO85" s="268"/>
      <c r="BP85" s="268"/>
      <c r="BQ85" s="268"/>
      <c r="BR85" s="268"/>
      <c r="BS85" s="268"/>
      <c r="BT85" s="268"/>
      <c r="BU85" s="268"/>
      <c r="BV85" s="268"/>
      <c r="BW85" s="268"/>
      <c r="BX85" s="268"/>
      <c r="BY85" s="268"/>
      <c r="BZ85" s="268"/>
      <c r="CA85" s="268"/>
      <c r="CB85" s="268"/>
      <c r="CC85" s="268"/>
      <c r="CD85" s="268"/>
      <c r="CE85" s="268"/>
      <c r="CF85" s="268"/>
      <c r="CG85" s="268"/>
      <c r="CH85" s="268"/>
      <c r="CI85" s="268"/>
      <c r="CJ85" s="268"/>
      <c r="CK85" s="268"/>
      <c r="CL85" s="268"/>
      <c r="CM85" s="268"/>
      <c r="CN85" s="268"/>
      <c r="CO85" s="268"/>
      <c r="CP85" s="268"/>
      <c r="CQ85" s="268"/>
      <c r="CR85" s="268"/>
      <c r="CS85" s="268"/>
      <c r="CT85" s="268"/>
      <c r="CU85" s="268"/>
      <c r="CV85" s="268"/>
      <c r="CW85" s="268"/>
      <c r="CX85" s="268"/>
      <c r="CY85" s="268"/>
      <c r="CZ85" s="268"/>
      <c r="DA85" s="268"/>
      <c r="DB85" s="268"/>
      <c r="DC85" s="268"/>
      <c r="DD85" s="268"/>
      <c r="DE85" s="268"/>
      <c r="DF85" s="268"/>
      <c r="DG85" s="268"/>
      <c r="DH85" s="268"/>
      <c r="DI85" s="268"/>
      <c r="DJ85" s="268"/>
      <c r="DK85" s="268"/>
      <c r="DL85" s="268"/>
      <c r="DM85" s="269"/>
      <c r="DN85" s="269"/>
      <c r="DO85" s="377"/>
      <c r="DP85" s="377"/>
      <c r="DQ85" s="377"/>
    </row>
    <row r="86" spans="1:121" s="251" customFormat="1">
      <c r="A86" s="270" t="s">
        <v>1794</v>
      </c>
      <c r="B86" s="272">
        <f>P56+P57</f>
        <v>38994.050711193573</v>
      </c>
      <c r="C86" s="272">
        <f>Y56+Y57</f>
        <v>35220.432900432905</v>
      </c>
      <c r="D86" s="272">
        <f>AH56+AH57</f>
        <v>40943.753246753244</v>
      </c>
      <c r="E86" s="272">
        <f>AQ56+AQ57</f>
        <v>37736.178107606684</v>
      </c>
      <c r="F86" s="272">
        <f>AZ56+AZ57</f>
        <v>43098.687628161308</v>
      </c>
      <c r="G86" s="272">
        <f>BI56+BI57</f>
        <v>41708.407382091595</v>
      </c>
      <c r="H86" s="272">
        <f>BR56+BR57</f>
        <v>35603.263692828914</v>
      </c>
      <c r="I86" s="273">
        <f>CA56+CA57</f>
        <v>40943.753246753244</v>
      </c>
      <c r="J86" s="272">
        <f>CJ56+CJ57</f>
        <v>36020.897284533647</v>
      </c>
      <c r="K86" s="272">
        <f>CS56+CS57</f>
        <v>36698.74872953134</v>
      </c>
      <c r="L86" s="272">
        <f>DB56+DB57</f>
        <v>40842.155844155845</v>
      </c>
      <c r="M86" s="272">
        <f>DK56+DK57</f>
        <v>36698.74872953134</v>
      </c>
      <c r="N86" s="271">
        <f t="shared" si="56"/>
        <v>115158.23685837972</v>
      </c>
      <c r="O86" s="271">
        <f t="shared" si="57"/>
        <v>122543.27311785959</v>
      </c>
      <c r="P86" s="271">
        <f t="shared" si="58"/>
        <v>112567.91422411581</v>
      </c>
      <c r="Q86" s="271">
        <f t="shared" si="59"/>
        <v>114239.65330321851</v>
      </c>
      <c r="R86" s="271">
        <f t="shared" si="60"/>
        <v>464509.07750357362</v>
      </c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7"/>
      <c r="AH86" s="266"/>
      <c r="AI86" s="268"/>
      <c r="AJ86" s="268"/>
      <c r="AK86" s="268"/>
      <c r="AL86" s="2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  <c r="BI86" s="268"/>
      <c r="BJ86" s="268"/>
      <c r="BK86" s="268"/>
      <c r="BL86" s="268"/>
      <c r="BM86" s="268"/>
      <c r="BN86" s="268"/>
      <c r="BO86" s="268"/>
      <c r="BP86" s="268"/>
      <c r="BQ86" s="268"/>
      <c r="BR86" s="268"/>
      <c r="BS86" s="268"/>
      <c r="BT86" s="268"/>
      <c r="BU86" s="268"/>
      <c r="BV86" s="268"/>
      <c r="BW86" s="268"/>
      <c r="BX86" s="268"/>
      <c r="BY86" s="268"/>
      <c r="BZ86" s="268"/>
      <c r="CA86" s="268"/>
      <c r="CB86" s="268"/>
      <c r="CC86" s="268"/>
      <c r="CD86" s="268"/>
      <c r="CE86" s="268"/>
      <c r="CF86" s="268"/>
      <c r="CG86" s="268"/>
      <c r="CH86" s="268"/>
      <c r="CI86" s="268"/>
      <c r="CJ86" s="268"/>
      <c r="CK86" s="268"/>
      <c r="CL86" s="268"/>
      <c r="CM86" s="268"/>
      <c r="CN86" s="268"/>
      <c r="CO86" s="268"/>
      <c r="CP86" s="268"/>
      <c r="CQ86" s="268"/>
      <c r="CR86" s="268"/>
      <c r="CS86" s="268"/>
      <c r="CT86" s="268"/>
      <c r="CU86" s="268"/>
      <c r="CV86" s="268"/>
      <c r="CW86" s="268"/>
      <c r="CX86" s="268"/>
      <c r="CY86" s="268"/>
      <c r="CZ86" s="268"/>
      <c r="DA86" s="268"/>
      <c r="DB86" s="268"/>
      <c r="DC86" s="268"/>
      <c r="DD86" s="268"/>
      <c r="DE86" s="268"/>
      <c r="DF86" s="268"/>
      <c r="DG86" s="268"/>
      <c r="DH86" s="268"/>
      <c r="DI86" s="268"/>
      <c r="DJ86" s="268"/>
      <c r="DK86" s="268"/>
      <c r="DL86" s="268"/>
      <c r="DM86" s="269"/>
      <c r="DN86" s="269"/>
      <c r="DO86" s="377"/>
      <c r="DP86" s="377"/>
      <c r="DQ86" s="377"/>
    </row>
    <row r="87" spans="1:121" s="251" customFormat="1">
      <c r="A87" s="270" t="s">
        <v>1989</v>
      </c>
      <c r="B87" s="272">
        <f>P59+P60</f>
        <v>17387.014285714286</v>
      </c>
      <c r="C87" s="272">
        <f>Y59+Y60</f>
        <v>15704.4</v>
      </c>
      <c r="D87" s="272">
        <f>AH59+AH60</f>
        <v>18371.184905660379</v>
      </c>
      <c r="E87" s="272">
        <f>AQ59+AQ60</f>
        <v>16926.898203592813</v>
      </c>
      <c r="F87" s="272">
        <f>AZ59+AZ60</f>
        <v>19344.49271523179</v>
      </c>
      <c r="G87" s="272">
        <f>BI59+BI60</f>
        <v>18200.598961018361</v>
      </c>
      <c r="H87" s="272">
        <f>BR59+BR60</f>
        <v>15875.099999999999</v>
      </c>
      <c r="I87" s="273">
        <f>CA59+CA60</f>
        <v>18256.364999999998</v>
      </c>
      <c r="J87" s="272">
        <f>CJ59+CJ60</f>
        <v>16061.318181818182</v>
      </c>
      <c r="K87" s="272">
        <f>CS59+CS60</f>
        <v>16363.349999999999</v>
      </c>
      <c r="L87" s="272">
        <f>DB59+DB60</f>
        <v>18210.824999999997</v>
      </c>
      <c r="M87" s="272">
        <f>DK59+DK60</f>
        <v>16452.767213114756</v>
      </c>
      <c r="N87" s="271">
        <f t="shared" si="56"/>
        <v>51462.599191374669</v>
      </c>
      <c r="O87" s="271">
        <f t="shared" si="57"/>
        <v>54471.989879842964</v>
      </c>
      <c r="P87" s="271">
        <f t="shared" si="58"/>
        <v>50192.78318181818</v>
      </c>
      <c r="Q87" s="271">
        <f t="shared" si="59"/>
        <v>51026.942213114751</v>
      </c>
      <c r="R87" s="271">
        <f t="shared" si="60"/>
        <v>207154.31446615056</v>
      </c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7"/>
      <c r="AH87" s="266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  <c r="BD87" s="268"/>
      <c r="BE87" s="268"/>
      <c r="BF87" s="268"/>
      <c r="BG87" s="268"/>
      <c r="BH87" s="268"/>
      <c r="BI87" s="268"/>
      <c r="BJ87" s="268"/>
      <c r="BK87" s="268"/>
      <c r="BL87" s="268"/>
      <c r="BM87" s="268"/>
      <c r="BN87" s="268"/>
      <c r="BO87" s="268"/>
      <c r="BP87" s="268"/>
      <c r="BQ87" s="268"/>
      <c r="BR87" s="268"/>
      <c r="BS87" s="268"/>
      <c r="BT87" s="268"/>
      <c r="BU87" s="268"/>
      <c r="BV87" s="268"/>
      <c r="BW87" s="268"/>
      <c r="BX87" s="268"/>
      <c r="BY87" s="268"/>
      <c r="BZ87" s="268"/>
      <c r="CA87" s="268"/>
      <c r="CB87" s="268"/>
      <c r="CC87" s="268"/>
      <c r="CD87" s="268"/>
      <c r="CE87" s="268"/>
      <c r="CF87" s="268"/>
      <c r="CG87" s="268"/>
      <c r="CH87" s="268"/>
      <c r="CI87" s="268"/>
      <c r="CJ87" s="268"/>
      <c r="CK87" s="268"/>
      <c r="CL87" s="268"/>
      <c r="CM87" s="268"/>
      <c r="CN87" s="268"/>
      <c r="CO87" s="268"/>
      <c r="CP87" s="268"/>
      <c r="CQ87" s="268"/>
      <c r="CR87" s="268"/>
      <c r="CS87" s="268"/>
      <c r="CT87" s="268"/>
      <c r="CU87" s="268"/>
      <c r="CV87" s="268"/>
      <c r="CW87" s="268"/>
      <c r="CX87" s="268"/>
      <c r="CY87" s="268"/>
      <c r="CZ87" s="268"/>
      <c r="DA87" s="268"/>
      <c r="DB87" s="268"/>
      <c r="DC87" s="268"/>
      <c r="DD87" s="268"/>
      <c r="DE87" s="268"/>
      <c r="DF87" s="268"/>
      <c r="DG87" s="268"/>
      <c r="DH87" s="268"/>
      <c r="DI87" s="268"/>
      <c r="DJ87" s="268"/>
      <c r="DK87" s="268"/>
      <c r="DL87" s="268"/>
      <c r="DM87" s="269"/>
      <c r="DN87" s="269"/>
      <c r="DO87" s="377"/>
      <c r="DP87" s="377"/>
      <c r="DQ87" s="377"/>
    </row>
    <row r="88" spans="1:121" s="251" customFormat="1">
      <c r="A88" s="270" t="s">
        <v>1791</v>
      </c>
      <c r="B88" s="272">
        <f>P62+P64</f>
        <v>5022.5166666666664</v>
      </c>
      <c r="C88" s="272">
        <f>Y62+Y64</f>
        <v>4536.4666666666672</v>
      </c>
      <c r="D88" s="272">
        <f>AH62+AH64</f>
        <v>5306.8100628930815</v>
      </c>
      <c r="E88" s="272">
        <f>AQ62+AQ64</f>
        <v>4889.604790419161</v>
      </c>
      <c r="F88" s="272">
        <f>AZ62+AZ64</f>
        <v>1662.996026490066</v>
      </c>
      <c r="G88" s="272">
        <f>BI62+BI64</f>
        <v>1455.1616766467064</v>
      </c>
      <c r="H88" s="272">
        <f>BR62+BR64</f>
        <v>1364.7413043478261</v>
      </c>
      <c r="I88" s="273">
        <f>CA62+CA64</f>
        <v>1569.4524999999999</v>
      </c>
      <c r="J88" s="272">
        <f>CJ62+CJ64</f>
        <v>1380.75</v>
      </c>
      <c r="K88" s="272">
        <f>CS62+CS64</f>
        <v>4726.826086956522</v>
      </c>
      <c r="L88" s="272">
        <f>DB62+DB64</f>
        <v>5260.4999999999991</v>
      </c>
      <c r="M88" s="272">
        <f>DK62+DK64</f>
        <v>4752.6557377049176</v>
      </c>
      <c r="N88" s="271">
        <f t="shared" si="56"/>
        <v>14865.793396226414</v>
      </c>
      <c r="O88" s="271">
        <f t="shared" si="57"/>
        <v>8007.7624935559343</v>
      </c>
      <c r="P88" s="271">
        <f t="shared" si="58"/>
        <v>4314.9438043478258</v>
      </c>
      <c r="Q88" s="271">
        <f t="shared" si="59"/>
        <v>14739.981824661438</v>
      </c>
      <c r="R88" s="271">
        <f t="shared" si="60"/>
        <v>41928.48151879161</v>
      </c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7"/>
      <c r="AH88" s="266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  <c r="BI88" s="268"/>
      <c r="BJ88" s="268"/>
      <c r="BK88" s="268"/>
      <c r="BL88" s="268"/>
      <c r="BM88" s="268"/>
      <c r="BN88" s="268"/>
      <c r="BO88" s="268"/>
      <c r="BP88" s="268"/>
      <c r="BQ88" s="268"/>
      <c r="BR88" s="268"/>
      <c r="BS88" s="268"/>
      <c r="BT88" s="268"/>
      <c r="BU88" s="268"/>
      <c r="BV88" s="268"/>
      <c r="BW88" s="268"/>
      <c r="BX88" s="268"/>
      <c r="BY88" s="268"/>
      <c r="BZ88" s="268"/>
      <c r="CA88" s="268"/>
      <c r="CB88" s="268"/>
      <c r="CC88" s="268"/>
      <c r="CD88" s="268"/>
      <c r="CE88" s="268"/>
      <c r="CF88" s="268"/>
      <c r="CG88" s="268"/>
      <c r="CH88" s="268"/>
      <c r="CI88" s="268"/>
      <c r="CJ88" s="268"/>
      <c r="CK88" s="268"/>
      <c r="CL88" s="268"/>
      <c r="CM88" s="268"/>
      <c r="CN88" s="268"/>
      <c r="CO88" s="268"/>
      <c r="CP88" s="268"/>
      <c r="CQ88" s="268"/>
      <c r="CR88" s="268"/>
      <c r="CS88" s="268"/>
      <c r="CT88" s="268"/>
      <c r="CU88" s="268"/>
      <c r="CV88" s="268"/>
      <c r="CW88" s="268"/>
      <c r="CX88" s="268"/>
      <c r="CY88" s="268"/>
      <c r="CZ88" s="268"/>
      <c r="DA88" s="268"/>
      <c r="DB88" s="268"/>
      <c r="DC88" s="268"/>
      <c r="DD88" s="268"/>
      <c r="DE88" s="268"/>
      <c r="DF88" s="268"/>
      <c r="DG88" s="268"/>
      <c r="DH88" s="268"/>
      <c r="DI88" s="268"/>
      <c r="DJ88" s="268"/>
      <c r="DK88" s="268"/>
      <c r="DL88" s="268"/>
      <c r="DM88" s="269"/>
      <c r="DN88" s="269"/>
      <c r="DO88" s="377"/>
      <c r="DP88" s="377"/>
      <c r="DQ88" s="377"/>
    </row>
    <row r="89" spans="1:121" s="251" customFormat="1">
      <c r="A89" s="274"/>
      <c r="B89" s="272">
        <f>SUM(B83:B88)</f>
        <v>79157.155772005761</v>
      </c>
      <c r="C89" s="272">
        <f t="shared" ref="C89:M89" si="61">SUM(C83:C88)</f>
        <v>71496.785858585848</v>
      </c>
      <c r="D89" s="272">
        <f t="shared" si="61"/>
        <v>83263.001029159524</v>
      </c>
      <c r="E89" s="272">
        <f t="shared" si="61"/>
        <v>76733.559271068254</v>
      </c>
      <c r="F89" s="272">
        <f t="shared" si="61"/>
        <v>83728.547752886123</v>
      </c>
      <c r="G89" s="272">
        <f t="shared" si="61"/>
        <v>80353.559680727267</v>
      </c>
      <c r="H89" s="272">
        <f t="shared" si="61"/>
        <v>69052.890052700925</v>
      </c>
      <c r="I89" s="272">
        <f t="shared" si="61"/>
        <v>79410.823560606063</v>
      </c>
      <c r="J89" s="272">
        <f t="shared" si="61"/>
        <v>69862.894628099166</v>
      </c>
      <c r="K89" s="272">
        <f t="shared" si="61"/>
        <v>74497.720600414075</v>
      </c>
      <c r="L89" s="272">
        <f t="shared" si="61"/>
        <v>82908.753571428562</v>
      </c>
      <c r="M89" s="272">
        <f t="shared" si="61"/>
        <v>74612.96746427723</v>
      </c>
      <c r="N89" s="271">
        <f t="shared" si="56"/>
        <v>233916.94265975113</v>
      </c>
      <c r="O89" s="271">
        <f t="shared" si="57"/>
        <v>240815.66670468164</v>
      </c>
      <c r="P89" s="271">
        <f t="shared" si="58"/>
        <v>218326.60824140615</v>
      </c>
      <c r="Q89" s="271">
        <f t="shared" si="59"/>
        <v>232019.44163611985</v>
      </c>
      <c r="R89" s="271">
        <f t="shared" si="60"/>
        <v>925078.65924195875</v>
      </c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7"/>
      <c r="AH89" s="266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  <c r="BJ89" s="268"/>
      <c r="BK89" s="268"/>
      <c r="BL89" s="268"/>
      <c r="BM89" s="268"/>
      <c r="BN89" s="268"/>
      <c r="BO89" s="268"/>
      <c r="BP89" s="268"/>
      <c r="BQ89" s="268"/>
      <c r="BR89" s="268"/>
      <c r="BS89" s="268"/>
      <c r="BT89" s="268"/>
      <c r="BU89" s="268"/>
      <c r="BV89" s="268"/>
      <c r="BW89" s="268"/>
      <c r="BX89" s="268"/>
      <c r="BY89" s="268"/>
      <c r="BZ89" s="268"/>
      <c r="CA89" s="268"/>
      <c r="CB89" s="268"/>
      <c r="CC89" s="268"/>
      <c r="CD89" s="268"/>
      <c r="CE89" s="268"/>
      <c r="CF89" s="268"/>
      <c r="CG89" s="268"/>
      <c r="CH89" s="268"/>
      <c r="CI89" s="268"/>
      <c r="CJ89" s="268"/>
      <c r="CK89" s="268"/>
      <c r="CL89" s="268"/>
      <c r="CM89" s="268"/>
      <c r="CN89" s="268"/>
      <c r="CO89" s="268"/>
      <c r="CP89" s="268"/>
      <c r="CQ89" s="268"/>
      <c r="CR89" s="268"/>
      <c r="CS89" s="268"/>
      <c r="CT89" s="268"/>
      <c r="CU89" s="268"/>
      <c r="CV89" s="268"/>
      <c r="CW89" s="268"/>
      <c r="CX89" s="268"/>
      <c r="CY89" s="268"/>
      <c r="CZ89" s="268"/>
      <c r="DA89" s="268"/>
      <c r="DB89" s="268"/>
      <c r="DC89" s="268"/>
      <c r="DD89" s="268"/>
      <c r="DE89" s="268"/>
      <c r="DF89" s="268"/>
      <c r="DG89" s="268"/>
      <c r="DH89" s="268"/>
      <c r="DI89" s="268"/>
      <c r="DJ89" s="268"/>
      <c r="DK89" s="268"/>
      <c r="DL89" s="268"/>
      <c r="DM89" s="269"/>
      <c r="DN89" s="269"/>
      <c r="DO89" s="377"/>
      <c r="DP89" s="377"/>
      <c r="DQ89" s="377"/>
    </row>
    <row r="90" spans="1:121" s="251" customFormat="1">
      <c r="A90" s="274"/>
      <c r="B90" s="263"/>
      <c r="C90" s="275"/>
      <c r="D90" s="276"/>
      <c r="E90" s="276"/>
      <c r="F90" s="276"/>
      <c r="G90" s="277"/>
      <c r="H90" s="278"/>
      <c r="I90" s="225"/>
      <c r="J90" s="279"/>
      <c r="K90" s="279"/>
      <c r="L90" s="279"/>
      <c r="M90" s="276"/>
      <c r="N90" s="271"/>
      <c r="O90" s="271"/>
      <c r="P90" s="271"/>
      <c r="Q90" s="271"/>
      <c r="R90" s="271">
        <f>R89-DN65</f>
        <v>0</v>
      </c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7"/>
      <c r="AH90" s="266"/>
      <c r="AI90" s="268"/>
      <c r="AJ90" s="268"/>
      <c r="AK90" s="268"/>
      <c r="AL90" s="2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  <c r="BI90" s="268"/>
      <c r="BJ90" s="268"/>
      <c r="BK90" s="268"/>
      <c r="BL90" s="268"/>
      <c r="BM90" s="268"/>
      <c r="BN90" s="268"/>
      <c r="BO90" s="268"/>
      <c r="BP90" s="268"/>
      <c r="BQ90" s="268"/>
      <c r="BR90" s="268"/>
      <c r="BS90" s="268"/>
      <c r="BT90" s="268"/>
      <c r="BU90" s="268"/>
      <c r="BV90" s="268"/>
      <c r="BW90" s="268"/>
      <c r="BX90" s="268"/>
      <c r="BY90" s="268"/>
      <c r="BZ90" s="268"/>
      <c r="CA90" s="268"/>
      <c r="CB90" s="268"/>
      <c r="CC90" s="268"/>
      <c r="CD90" s="268"/>
      <c r="CE90" s="268"/>
      <c r="CF90" s="268"/>
      <c r="CG90" s="268"/>
      <c r="CH90" s="268"/>
      <c r="CI90" s="268"/>
      <c r="CJ90" s="268"/>
      <c r="CK90" s="268"/>
      <c r="CL90" s="268"/>
      <c r="CM90" s="268"/>
      <c r="CN90" s="268"/>
      <c r="CO90" s="268"/>
      <c r="CP90" s="268"/>
      <c r="CQ90" s="268"/>
      <c r="CR90" s="268"/>
      <c r="CS90" s="268"/>
      <c r="CT90" s="268"/>
      <c r="CU90" s="268"/>
      <c r="CV90" s="268"/>
      <c r="CW90" s="268"/>
      <c r="CX90" s="268"/>
      <c r="CY90" s="268"/>
      <c r="CZ90" s="268"/>
      <c r="DA90" s="268"/>
      <c r="DB90" s="268"/>
      <c r="DC90" s="268"/>
      <c r="DD90" s="268"/>
      <c r="DE90" s="268"/>
      <c r="DF90" s="268"/>
      <c r="DG90" s="268"/>
      <c r="DH90" s="268"/>
      <c r="DI90" s="268"/>
      <c r="DJ90" s="268"/>
      <c r="DK90" s="268"/>
      <c r="DL90" s="268"/>
      <c r="DM90" s="269"/>
      <c r="DN90" s="269"/>
      <c r="DO90" s="377"/>
      <c r="DP90" s="377"/>
      <c r="DQ90" s="377"/>
    </row>
  </sheetData>
  <mergeCells count="26">
    <mergeCell ref="CU49:DC49"/>
    <mergeCell ref="DD49:DL49"/>
    <mergeCell ref="BB49:BJ49"/>
    <mergeCell ref="CL49:CT49"/>
    <mergeCell ref="CC49:CK49"/>
    <mergeCell ref="I49:Q49"/>
    <mergeCell ref="R49:Z49"/>
    <mergeCell ref="AA49:AI49"/>
    <mergeCell ref="AJ49:AR49"/>
    <mergeCell ref="AS49:BA49"/>
    <mergeCell ref="BB2:BJ2"/>
    <mergeCell ref="BK2:BS2"/>
    <mergeCell ref="BT2:CB2"/>
    <mergeCell ref="C67:G67"/>
    <mergeCell ref="BK49:BS49"/>
    <mergeCell ref="BT49:CB49"/>
    <mergeCell ref="CC2:CK2"/>
    <mergeCell ref="CL2:CT2"/>
    <mergeCell ref="CU2:DC2"/>
    <mergeCell ref="C32:G32"/>
    <mergeCell ref="DD2:DL2"/>
    <mergeCell ref="I2:Q2"/>
    <mergeCell ref="R2:Z2"/>
    <mergeCell ref="AA2:AI2"/>
    <mergeCell ref="AJ2:AR2"/>
    <mergeCell ref="AS2:BA2"/>
  </mergeCells>
  <phoneticPr fontId="66" type="noConversion"/>
  <pageMargins left="0" right="0" top="0" bottom="0" header="0" footer="0"/>
  <pageSetup paperSize="9" scale="29" fitToWidth="2" orientation="landscape" verticalDpi="200" r:id="rId1"/>
  <colBreaks count="1" manualBreakCount="1">
    <brk id="5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9"/>
  <sheetViews>
    <sheetView view="pageBreakPreview" zoomScale="80" zoomScaleNormal="90" zoomScaleSheetLayoutView="80" workbookViewId="0">
      <selection activeCell="O41" sqref="O41"/>
    </sheetView>
  </sheetViews>
  <sheetFormatPr defaultRowHeight="15"/>
  <cols>
    <col min="1" max="1" width="1.7109375" customWidth="1"/>
    <col min="2" max="2" width="55.140625" style="151" customWidth="1"/>
    <col min="3" max="4" width="8.42578125" style="41" bestFit="1" customWidth="1"/>
    <col min="5" max="5" width="10.140625" style="41" bestFit="1" customWidth="1"/>
    <col min="6" max="6" width="8.42578125" style="41" bestFit="1" customWidth="1"/>
    <col min="7" max="7" width="8.85546875" style="41" bestFit="1" customWidth="1"/>
    <col min="8" max="8" width="9.28515625" style="41" bestFit="1" customWidth="1"/>
    <col min="9" max="9" width="8.42578125" style="41" bestFit="1" customWidth="1"/>
    <col min="10" max="10" width="9.28515625" style="41" bestFit="1" customWidth="1"/>
    <col min="11" max="11" width="10.140625" style="41" bestFit="1" customWidth="1"/>
    <col min="12" max="12" width="9.42578125" style="41" bestFit="1" customWidth="1"/>
    <col min="13" max="13" width="10.140625" style="41" bestFit="1" customWidth="1"/>
    <col min="14" max="14" width="9.140625" style="41" bestFit="1"/>
    <col min="15" max="18" width="13.85546875" style="41" customWidth="1"/>
    <col min="19" max="19" width="13.85546875" style="1004" customWidth="1"/>
    <col min="20" max="20" width="9.85546875" bestFit="1" customWidth="1"/>
    <col min="21" max="21" width="2.28515625" bestFit="1" customWidth="1"/>
  </cols>
  <sheetData>
    <row r="1" spans="2:21" s="189" customFormat="1" ht="18.75">
      <c r="B1" s="185"/>
      <c r="C1" s="474"/>
      <c r="D1" s="474"/>
      <c r="E1" s="474"/>
      <c r="F1" s="1082"/>
      <c r="G1" s="1082"/>
      <c r="H1" s="1082"/>
      <c r="I1" s="474"/>
      <c r="J1" s="474"/>
      <c r="K1" s="474"/>
      <c r="L1" s="474"/>
      <c r="M1" s="474"/>
      <c r="N1" s="1082"/>
      <c r="O1" s="1011"/>
      <c r="P1" s="1011"/>
      <c r="Q1" s="1011"/>
      <c r="R1" s="1011"/>
      <c r="S1" s="726"/>
    </row>
    <row r="2" spans="2:21" ht="15.75">
      <c r="B2" s="1005" t="s">
        <v>1639</v>
      </c>
      <c r="C2" s="1083" t="s">
        <v>1557</v>
      </c>
      <c r="D2" s="1083" t="s">
        <v>1847</v>
      </c>
      <c r="E2" s="1083" t="s">
        <v>1848</v>
      </c>
      <c r="F2" s="1006" t="s">
        <v>1849</v>
      </c>
      <c r="G2" s="1006" t="s">
        <v>1850</v>
      </c>
      <c r="H2" s="1006" t="s">
        <v>1851</v>
      </c>
      <c r="I2" s="1006" t="s">
        <v>1558</v>
      </c>
      <c r="J2" s="1006" t="s">
        <v>1853</v>
      </c>
      <c r="K2" s="1006" t="s">
        <v>1854</v>
      </c>
      <c r="L2" s="1006" t="s">
        <v>1855</v>
      </c>
      <c r="M2" s="1006" t="s">
        <v>1856</v>
      </c>
      <c r="N2" s="1006" t="s">
        <v>1857</v>
      </c>
      <c r="O2" s="1007" t="s">
        <v>1993</v>
      </c>
      <c r="P2" s="1007" t="s">
        <v>1994</v>
      </c>
      <c r="Q2" s="1007" t="s">
        <v>1995</v>
      </c>
      <c r="R2" s="1007" t="s">
        <v>1996</v>
      </c>
      <c r="S2" s="1008">
        <v>2023</v>
      </c>
    </row>
    <row r="3" spans="2:21" ht="31.5">
      <c r="B3" s="1009" t="s">
        <v>1571</v>
      </c>
      <c r="C3" s="1041">
        <f>SUM(C4:C6)</f>
        <v>797104.16509566607</v>
      </c>
      <c r="D3" s="1041">
        <f t="shared" ref="D3:N3" si="0">SUM(D4:D6)</f>
        <v>724324.13599168416</v>
      </c>
      <c r="E3" s="1041">
        <f t="shared" si="0"/>
        <v>751242.1730956661</v>
      </c>
      <c r="F3" s="1041">
        <f t="shared" si="0"/>
        <v>468047.71387442894</v>
      </c>
      <c r="G3" s="1041">
        <f t="shared" si="0"/>
        <v>170092.1283545192</v>
      </c>
      <c r="H3" s="1041">
        <f t="shared" si="0"/>
        <v>137647.8483545192</v>
      </c>
      <c r="I3" s="1041">
        <f t="shared" si="0"/>
        <v>137647.8483545192</v>
      </c>
      <c r="J3" s="1041">
        <f t="shared" si="0"/>
        <v>137735.8483545192</v>
      </c>
      <c r="K3" s="1041">
        <f t="shared" si="0"/>
        <v>202624.40835451917</v>
      </c>
      <c r="L3" s="1041">
        <f t="shared" si="0"/>
        <v>505461.4355757563</v>
      </c>
      <c r="M3" s="1041">
        <f t="shared" si="0"/>
        <v>766531.29939433886</v>
      </c>
      <c r="N3" s="1041">
        <f t="shared" si="0"/>
        <v>790879.30909566605</v>
      </c>
      <c r="O3" s="1002">
        <f>C3+D3+E3</f>
        <v>2272670.4741830165</v>
      </c>
      <c r="P3" s="1002">
        <f>F3+G3+H3</f>
        <v>775787.69058346737</v>
      </c>
      <c r="Q3" s="1002">
        <f>I3+J3+K3</f>
        <v>478008.10506355757</v>
      </c>
      <c r="R3" s="1002">
        <f>L3+M3+N3</f>
        <v>2062872.0440657611</v>
      </c>
      <c r="S3" s="1002">
        <f>O3+P3+Q3+R3</f>
        <v>5589338.3138958029</v>
      </c>
      <c r="T3" s="397">
        <f ca="1">Електроенергія!U18+'Інші енергоносії'!L23+'Інші енергоносії'!L46</f>
        <v>5589338.313895802</v>
      </c>
      <c r="U3" s="397">
        <f>T3-S3</f>
        <v>0</v>
      </c>
    </row>
    <row r="4" spans="2:21" ht="15.75">
      <c r="B4" s="1010" t="str">
        <f ca="1">Електроенергія!B2</f>
        <v>Оплата електроенергії</v>
      </c>
      <c r="C4" s="1041">
        <f ca="1">Електроенергія!U6</f>
        <v>241407.67200000002</v>
      </c>
      <c r="D4" s="1041">
        <f ca="1">Електроенергія!U7</f>
        <v>221677.10400000002</v>
      </c>
      <c r="E4" s="1041">
        <f ca="1">Електроенергія!U8</f>
        <v>195545.68</v>
      </c>
      <c r="F4" s="1003">
        <f ca="1">Електроенергія!U9</f>
        <v>195281.68</v>
      </c>
      <c r="G4" s="1003">
        <f ca="1">Електроенергія!U10</f>
        <v>162573.40000000002</v>
      </c>
      <c r="H4" s="1003">
        <f ca="1">Електроенергія!U11</f>
        <v>130129.12000000001</v>
      </c>
      <c r="I4" s="1003">
        <f ca="1">Електроенергія!U12</f>
        <v>130129.12000000001</v>
      </c>
      <c r="J4" s="1003">
        <f ca="1">Електроенергія!U13</f>
        <v>130217.12000000001</v>
      </c>
      <c r="K4" s="1003">
        <f ca="1">Електроенергія!U14</f>
        <v>195105.68</v>
      </c>
      <c r="L4" s="1003">
        <f ca="1">Електроенергія!U15</f>
        <v>215012.24800000002</v>
      </c>
      <c r="M4" s="1003">
        <f ca="1">Електроенергія!U16</f>
        <v>228517.96000000002</v>
      </c>
      <c r="N4" s="1003">
        <f ca="1">Електроенергія!U17</f>
        <v>235182.81600000002</v>
      </c>
      <c r="O4" s="1002">
        <f>C4+D4+E4</f>
        <v>658630.45600000001</v>
      </c>
      <c r="P4" s="1002">
        <f>F4+G4+H4</f>
        <v>487984.2</v>
      </c>
      <c r="Q4" s="1002">
        <f>I4+J4+K4</f>
        <v>455451.92000000004</v>
      </c>
      <c r="R4" s="1002">
        <f>L4+M4+N4</f>
        <v>678713.02400000009</v>
      </c>
      <c r="S4" s="1002">
        <f>O4+P4+Q4+R4</f>
        <v>2280779.6</v>
      </c>
      <c r="T4" s="397">
        <f ca="1">Електроенергія!U18</f>
        <v>2280779.6</v>
      </c>
      <c r="U4" s="397">
        <f>T4-S4</f>
        <v>0</v>
      </c>
    </row>
    <row r="5" spans="2:21" ht="15.75">
      <c r="B5" s="1010" t="str">
        <f ca="1">'Інші енергоносії'!B2</f>
        <v>Оплата інших енергоносіїв (тріска паливна )</v>
      </c>
      <c r="C5" s="1041">
        <f ca="1">'Інші енергоносії'!L6</f>
        <v>548177.76474114682</v>
      </c>
      <c r="D5" s="1041">
        <f ca="1">'Інші енергоносії'!L7</f>
        <v>495128.30363716488</v>
      </c>
      <c r="E5" s="1041">
        <f ca="1">'Інші енергоносії'!L8</f>
        <v>548177.76474114682</v>
      </c>
      <c r="F5" s="1003">
        <f ca="1">'Інші енергоносії'!L9</f>
        <v>265247.30551990977</v>
      </c>
      <c r="G5" s="1003"/>
      <c r="H5" s="1003"/>
      <c r="I5" s="1003"/>
      <c r="J5" s="1003"/>
      <c r="K5" s="1003"/>
      <c r="L5" s="1003">
        <f ca="1">'Інші енергоносії'!L15</f>
        <v>282930.45922123711</v>
      </c>
      <c r="M5" s="1003">
        <f ca="1">'Інші енергоносії'!L16</f>
        <v>530494.61103981955</v>
      </c>
      <c r="N5" s="1003">
        <f ca="1">'Інші енергоносії'!L17</f>
        <v>548177.76474114682</v>
      </c>
      <c r="O5" s="1002">
        <f>C5+D5+E5</f>
        <v>1591483.8331194585</v>
      </c>
      <c r="P5" s="1002">
        <f>F5+G5+H5</f>
        <v>265247.30551990977</v>
      </c>
      <c r="Q5" s="1002">
        <f>I5+J5+K5</f>
        <v>0</v>
      </c>
      <c r="R5" s="1002">
        <f>L5+M5+N5</f>
        <v>1361602.8350022035</v>
      </c>
      <c r="S5" s="1002">
        <f>O5+P5+Q5+R5</f>
        <v>3218333.9736415716</v>
      </c>
      <c r="T5" s="397">
        <f ca="1">'Інші енергоносії'!L23</f>
        <v>3218333.9736415716</v>
      </c>
      <c r="U5" s="397">
        <f t="shared" ref="U5:U16" si="1">T5-S5</f>
        <v>0</v>
      </c>
    </row>
    <row r="6" spans="2:21" ht="15.75">
      <c r="B6" s="1010" t="str">
        <f ca="1">'Інші енергоносії'!B25</f>
        <v>Оплата інших енергоносіїв (утилізація сміття)</v>
      </c>
      <c r="C6" s="1041">
        <f ca="1">'Інші енергоносії'!L29</f>
        <v>7518.7283545191831</v>
      </c>
      <c r="D6" s="1041">
        <f ca="1">'Інші енергоносії'!L30</f>
        <v>7518.7283545191831</v>
      </c>
      <c r="E6" s="1041">
        <f ca="1">'Інші енергоносії'!L31</f>
        <v>7518.7283545191831</v>
      </c>
      <c r="F6" s="1003">
        <f ca="1">'Інші енергоносії'!L32</f>
        <v>7518.7283545191831</v>
      </c>
      <c r="G6" s="1003">
        <f ca="1">'Інші енергоносії'!L33</f>
        <v>7518.7283545191831</v>
      </c>
      <c r="H6" s="1003">
        <f ca="1">'Інші енергоносії'!L34</f>
        <v>7518.7283545191831</v>
      </c>
      <c r="I6" s="1003">
        <f ca="1">'Інші енергоносії'!L35</f>
        <v>7518.7283545191831</v>
      </c>
      <c r="J6" s="1003">
        <f ca="1">'Інші енергоносії'!L36</f>
        <v>7518.7283545191831</v>
      </c>
      <c r="K6" s="1003">
        <f ca="1">'Інші енергоносії'!L37</f>
        <v>7518.7283545191831</v>
      </c>
      <c r="L6" s="1003">
        <f ca="1">'Інші енергоносії'!L38</f>
        <v>7518.7283545191831</v>
      </c>
      <c r="M6" s="1003">
        <f ca="1">'Інші енергоносії'!L39</f>
        <v>7518.7283545191831</v>
      </c>
      <c r="N6" s="1003">
        <f ca="1">'Інші енергоносії'!L40</f>
        <v>7518.7283545191831</v>
      </c>
      <c r="O6" s="1002">
        <f>C6+D6+E6</f>
        <v>22556.18506355755</v>
      </c>
      <c r="P6" s="1002">
        <f>F6+G6+H6</f>
        <v>22556.18506355755</v>
      </c>
      <c r="Q6" s="1002">
        <f>I6+J6+K6</f>
        <v>22556.18506355755</v>
      </c>
      <c r="R6" s="1002">
        <f>L6+M6+N6</f>
        <v>22556.18506355755</v>
      </c>
      <c r="S6" s="1002">
        <f>O6+P6+Q6+R6</f>
        <v>90224.740254230201</v>
      </c>
      <c r="T6" s="397">
        <f ca="1">'Інші енергоносії'!L46</f>
        <v>90224.740254230201</v>
      </c>
      <c r="U6" s="397">
        <f t="shared" si="1"/>
        <v>0</v>
      </c>
    </row>
    <row r="7" spans="2:21" ht="15.75">
      <c r="B7" s="1005" t="s">
        <v>1603</v>
      </c>
      <c r="C7" s="1084"/>
      <c r="D7" s="1084"/>
      <c r="E7" s="1084"/>
      <c r="F7" s="1042"/>
      <c r="G7" s="1042"/>
      <c r="H7" s="1042"/>
      <c r="I7" s="1042"/>
      <c r="J7" s="1042"/>
      <c r="K7" s="1042"/>
      <c r="L7" s="1042"/>
      <c r="M7" s="1042"/>
      <c r="N7" s="1042"/>
      <c r="O7" s="1020"/>
      <c r="P7" s="1020"/>
      <c r="Q7" s="1020"/>
      <c r="R7" s="1020"/>
      <c r="S7" s="1043"/>
      <c r="U7" s="397">
        <f t="shared" si="1"/>
        <v>0</v>
      </c>
    </row>
    <row r="8" spans="2:21" ht="31.5">
      <c r="B8" s="1009" t="s">
        <v>1571</v>
      </c>
      <c r="C8" s="1041">
        <f t="shared" ref="C8:N8" si="2">SUM(C9:C11)</f>
        <v>98786.748091147121</v>
      </c>
      <c r="D8" s="1041">
        <f t="shared" si="2"/>
        <v>89805.017854469712</v>
      </c>
      <c r="E8" s="1041">
        <f t="shared" si="2"/>
        <v>92532.840091147111</v>
      </c>
      <c r="F8" s="1041">
        <f t="shared" si="2"/>
        <v>58943.782828867734</v>
      </c>
      <c r="G8" s="1041">
        <f t="shared" si="2"/>
        <v>23027.571645480813</v>
      </c>
      <c r="H8" s="1041">
        <f t="shared" si="2"/>
        <v>18603.351645480812</v>
      </c>
      <c r="I8" s="1041">
        <f t="shared" si="2"/>
        <v>18603.351645480812</v>
      </c>
      <c r="J8" s="1041">
        <f t="shared" si="2"/>
        <v>18615.351645480812</v>
      </c>
      <c r="K8" s="1041">
        <f t="shared" si="2"/>
        <v>27463.791645480815</v>
      </c>
      <c r="L8" s="1041">
        <f t="shared" si="2"/>
        <v>63731.380907760198</v>
      </c>
      <c r="M8" s="1041">
        <f t="shared" si="2"/>
        <v>94931.994012254654</v>
      </c>
      <c r="N8" s="1041">
        <f t="shared" si="2"/>
        <v>97937.904091147109</v>
      </c>
      <c r="O8" s="1002">
        <f>C8+D8+E8</f>
        <v>281124.60603676393</v>
      </c>
      <c r="P8" s="1002">
        <f>F8+G8+H8</f>
        <v>100574.70611982935</v>
      </c>
      <c r="Q8" s="1002">
        <f>I8+J8+K8</f>
        <v>64682.494936442439</v>
      </c>
      <c r="R8" s="1002">
        <f>L8+M8+N8</f>
        <v>256601.27901116194</v>
      </c>
      <c r="S8" s="1002">
        <f>O8+P8+Q8+R8</f>
        <v>702983.08610419766</v>
      </c>
      <c r="T8" s="397">
        <f ca="1">Електроенергія!AC18+'Інші енергоносії'!O23+'Інші енергоносії'!O46</f>
        <v>702983.08610419778</v>
      </c>
      <c r="U8" s="397">
        <f t="shared" si="1"/>
        <v>0</v>
      </c>
    </row>
    <row r="9" spans="2:21" ht="15.75">
      <c r="B9" s="1010" t="str">
        <f>B4</f>
        <v>Оплата електроенергії</v>
      </c>
      <c r="C9" s="1041">
        <f ca="1">Електроенергія!AC6</f>
        <v>32919.228000000003</v>
      </c>
      <c r="D9" s="1041">
        <f ca="1">Електроенергія!AC7</f>
        <v>30228.696</v>
      </c>
      <c r="E9" s="1041">
        <f ca="1">Електроенергія!AC8</f>
        <v>26665.32</v>
      </c>
      <c r="F9" s="1003">
        <f ca="1">Електроенергія!AC9</f>
        <v>26629.32</v>
      </c>
      <c r="G9" s="1003">
        <f ca="1">Електроенергія!AC10</f>
        <v>22169.1</v>
      </c>
      <c r="H9" s="1003">
        <f ca="1">Електроенергія!AC11</f>
        <v>17744.879999999997</v>
      </c>
      <c r="I9" s="1003">
        <f ca="1">Електроенергія!AC12</f>
        <v>17744.879999999997</v>
      </c>
      <c r="J9" s="1003">
        <f ca="1">Електроенергія!AC13</f>
        <v>17756.879999999997</v>
      </c>
      <c r="K9" s="1003">
        <f ca="1">Електроенергія!AC14</f>
        <v>26605.32</v>
      </c>
      <c r="L9" s="1003">
        <f ca="1">Електроенергія!AC15</f>
        <v>29319.852000000003</v>
      </c>
      <c r="M9" s="1003">
        <f ca="1">Електроенергія!AC16</f>
        <v>31161.54</v>
      </c>
      <c r="N9" s="1003">
        <f ca="1">Електроенергія!AC17</f>
        <v>32070.383999999998</v>
      </c>
      <c r="O9" s="1002">
        <f>C9+D9+E9</f>
        <v>89813.244000000006</v>
      </c>
      <c r="P9" s="1002">
        <f>F9+G9+H9</f>
        <v>66543.299999999988</v>
      </c>
      <c r="Q9" s="1002">
        <f>I9+J9+K9</f>
        <v>62107.079999999994</v>
      </c>
      <c r="R9" s="1002">
        <f>L9+M9+N9</f>
        <v>92551.776000000013</v>
      </c>
      <c r="S9" s="1002">
        <f>O9+P9+Q9+R9</f>
        <v>311015.40000000002</v>
      </c>
      <c r="T9" s="397">
        <f ca="1">Електроенергія!AC18</f>
        <v>311015.40000000008</v>
      </c>
      <c r="U9" s="397">
        <f t="shared" si="1"/>
        <v>0</v>
      </c>
    </row>
    <row r="10" spans="2:21" ht="15.75">
      <c r="B10" s="1010" t="str">
        <f>B5</f>
        <v>Оплата інших енергоносіїв (тріска паливна )</v>
      </c>
      <c r="C10" s="1041">
        <f ca="1">'Інші енергоносії'!O6</f>
        <v>65009.048445666289</v>
      </c>
      <c r="D10" s="1041">
        <f ca="1">'Інші енергоносії'!O7</f>
        <v>58717.850208988893</v>
      </c>
      <c r="E10" s="1041">
        <f ca="1">'Інші енергоносії'!O8</f>
        <v>65009.048445666289</v>
      </c>
      <c r="F10" s="1003">
        <f ca="1">'Інші енергоносії'!O9</f>
        <v>31455.991183386916</v>
      </c>
      <c r="G10" s="1003"/>
      <c r="H10" s="1003"/>
      <c r="I10" s="1003"/>
      <c r="J10" s="1003"/>
      <c r="K10" s="1003"/>
      <c r="L10" s="1003">
        <f ca="1">'Інші енергоносії'!O15</f>
        <v>33553.057262279377</v>
      </c>
      <c r="M10" s="1003">
        <f ca="1">'Інші енергоносії'!O16</f>
        <v>62911.982366773831</v>
      </c>
      <c r="N10" s="1003">
        <f ca="1">'Інші енергоносії'!O17</f>
        <v>65009.048445666289</v>
      </c>
      <c r="O10" s="1002">
        <f>C10+D10+E10</f>
        <v>188735.94710032147</v>
      </c>
      <c r="P10" s="1002">
        <f>F10+G10+H10</f>
        <v>31455.991183386916</v>
      </c>
      <c r="Q10" s="1002">
        <f>I10+J10+K10</f>
        <v>0</v>
      </c>
      <c r="R10" s="1002">
        <f>L10+M10+N10</f>
        <v>161474.0880747195</v>
      </c>
      <c r="S10" s="1002">
        <f>O10+P10+Q10+R10</f>
        <v>381666.02635842789</v>
      </c>
      <c r="T10" s="397">
        <f ca="1">'Інші енергоносії'!O23</f>
        <v>381666.02635842789</v>
      </c>
      <c r="U10" s="397">
        <f t="shared" si="1"/>
        <v>0</v>
      </c>
    </row>
    <row r="11" spans="2:21" ht="15.75">
      <c r="B11" s="1010" t="str">
        <f>B6</f>
        <v>Оплата інших енергоносіїв (утилізація сміття)</v>
      </c>
      <c r="C11" s="1041">
        <f ca="1">'Інші енергоносії'!O29</f>
        <v>858.47164548081571</v>
      </c>
      <c r="D11" s="1041">
        <f ca="1">'Інші енергоносії'!O30</f>
        <v>858.47164548081571</v>
      </c>
      <c r="E11" s="1041">
        <f ca="1">'Інші енергоносії'!O31</f>
        <v>858.47164548081571</v>
      </c>
      <c r="F11" s="1003">
        <f ca="1">'Інші енергоносії'!O32</f>
        <v>858.47164548081571</v>
      </c>
      <c r="G11" s="1003">
        <f ca="1">'Інші енергоносії'!O33</f>
        <v>858.47164548081571</v>
      </c>
      <c r="H11" s="1003">
        <f ca="1">'Інші енергоносії'!O34</f>
        <v>858.47164548081571</v>
      </c>
      <c r="I11" s="1003">
        <f ca="1">'Інші енергоносії'!O35</f>
        <v>858.47164548081571</v>
      </c>
      <c r="J11" s="1003">
        <f ca="1">'Інші енергоносії'!O36</f>
        <v>858.47164548081571</v>
      </c>
      <c r="K11" s="1003">
        <f ca="1">'Інші енергоносії'!O37</f>
        <v>858.47164548081571</v>
      </c>
      <c r="L11" s="1003">
        <f ca="1">'Інші енергоносії'!O38</f>
        <v>858.47164548081571</v>
      </c>
      <c r="M11" s="1003">
        <f ca="1">'Інші енергоносії'!O39</f>
        <v>858.47164548081571</v>
      </c>
      <c r="N11" s="1003">
        <f ca="1">'Інші енергоносії'!O40</f>
        <v>858.47164548081571</v>
      </c>
      <c r="O11" s="1002">
        <f>C11+D11+E11</f>
        <v>2575.414936442447</v>
      </c>
      <c r="P11" s="1002">
        <f>F11+G11+H11</f>
        <v>2575.414936442447</v>
      </c>
      <c r="Q11" s="1002">
        <f>I11+J11+K11</f>
        <v>2575.414936442447</v>
      </c>
      <c r="R11" s="1002">
        <f>L11+M11+N11</f>
        <v>2575.414936442447</v>
      </c>
      <c r="S11" s="1002">
        <f>O11+P11+Q11+R11</f>
        <v>10301.659745769788</v>
      </c>
      <c r="T11" s="397">
        <f ca="1">'Інші енергоносії'!O46</f>
        <v>10301.659745769788</v>
      </c>
      <c r="U11" s="397">
        <f t="shared" si="1"/>
        <v>0</v>
      </c>
    </row>
    <row r="12" spans="2:21" ht="15.75">
      <c r="B12" s="1005" t="s">
        <v>1547</v>
      </c>
      <c r="C12" s="1084"/>
      <c r="D12" s="1084"/>
      <c r="E12" s="1084"/>
      <c r="F12" s="1042"/>
      <c r="G12" s="1042"/>
      <c r="H12" s="1042"/>
      <c r="I12" s="1042"/>
      <c r="J12" s="1042"/>
      <c r="K12" s="1042"/>
      <c r="L12" s="1042"/>
      <c r="M12" s="1042"/>
      <c r="N12" s="1042"/>
      <c r="O12" s="1020"/>
      <c r="P12" s="1020"/>
      <c r="Q12" s="1020"/>
      <c r="R12" s="1020"/>
      <c r="S12" s="1043"/>
      <c r="U12" s="397">
        <f t="shared" si="1"/>
        <v>0</v>
      </c>
    </row>
    <row r="13" spans="2:21" ht="31.5">
      <c r="B13" s="1009" t="s">
        <v>1571</v>
      </c>
      <c r="C13" s="1041">
        <f t="shared" ref="C13:N13" si="3">SUM(C14:C16)</f>
        <v>895890.91318681312</v>
      </c>
      <c r="D13" s="1041">
        <f t="shared" si="3"/>
        <v>814129.15384615376</v>
      </c>
      <c r="E13" s="1041">
        <f t="shared" si="3"/>
        <v>843775.0131868131</v>
      </c>
      <c r="F13" s="1041">
        <f t="shared" si="3"/>
        <v>526991.49670329667</v>
      </c>
      <c r="G13" s="1041">
        <f t="shared" si="3"/>
        <v>193119.70000000004</v>
      </c>
      <c r="H13" s="1041">
        <f t="shared" si="3"/>
        <v>156251.20000000001</v>
      </c>
      <c r="I13" s="1041">
        <f t="shared" si="3"/>
        <v>156251.20000000001</v>
      </c>
      <c r="J13" s="1041">
        <f t="shared" si="3"/>
        <v>156351.20000000001</v>
      </c>
      <c r="K13" s="1041">
        <f t="shared" si="3"/>
        <v>230088.2</v>
      </c>
      <c r="L13" s="1041">
        <f t="shared" si="3"/>
        <v>569192.81648351648</v>
      </c>
      <c r="M13" s="1041">
        <f t="shared" si="3"/>
        <v>861463.29340659338</v>
      </c>
      <c r="N13" s="1041">
        <f t="shared" si="3"/>
        <v>888817.21318681305</v>
      </c>
      <c r="O13" s="1002">
        <f>C13+D13+E13</f>
        <v>2553795.0802197801</v>
      </c>
      <c r="P13" s="1002">
        <f>F13+G13+H13</f>
        <v>876362.39670329681</v>
      </c>
      <c r="Q13" s="1002">
        <f>I13+J13+K13</f>
        <v>542690.60000000009</v>
      </c>
      <c r="R13" s="1002">
        <f>L13+M13+N13</f>
        <v>2319473.3230769229</v>
      </c>
      <c r="S13" s="1002">
        <f>O13+P13+Q13+R13</f>
        <v>6292321.4000000004</v>
      </c>
      <c r="T13" s="397">
        <f>T3+T8</f>
        <v>6292321.3999999994</v>
      </c>
      <c r="U13" s="397">
        <f t="shared" si="1"/>
        <v>0</v>
      </c>
    </row>
    <row r="14" spans="2:21" ht="15.75">
      <c r="B14" s="1010" t="str">
        <f>B9</f>
        <v>Оплата електроенергії</v>
      </c>
      <c r="C14" s="1041">
        <f>C4+C9</f>
        <v>274326.90000000002</v>
      </c>
      <c r="D14" s="1041">
        <f t="shared" ref="D14:N14" si="4">D4+D9</f>
        <v>251905.80000000002</v>
      </c>
      <c r="E14" s="1041">
        <f t="shared" si="4"/>
        <v>222211</v>
      </c>
      <c r="F14" s="1041">
        <f t="shared" si="4"/>
        <v>221911</v>
      </c>
      <c r="G14" s="1041">
        <f t="shared" si="4"/>
        <v>184742.50000000003</v>
      </c>
      <c r="H14" s="1041">
        <f t="shared" si="4"/>
        <v>147874</v>
      </c>
      <c r="I14" s="1041">
        <f t="shared" si="4"/>
        <v>147874</v>
      </c>
      <c r="J14" s="1041">
        <f t="shared" si="4"/>
        <v>147974</v>
      </c>
      <c r="K14" s="1041">
        <f t="shared" si="4"/>
        <v>221711</v>
      </c>
      <c r="L14" s="1041">
        <f t="shared" si="4"/>
        <v>244332.10000000003</v>
      </c>
      <c r="M14" s="1041">
        <f t="shared" si="4"/>
        <v>259679.50000000003</v>
      </c>
      <c r="N14" s="1041">
        <f t="shared" si="4"/>
        <v>267253.2</v>
      </c>
      <c r="O14" s="1002">
        <f>C14+D14+E14</f>
        <v>748443.70000000007</v>
      </c>
      <c r="P14" s="1002">
        <f>F14+G14+H14</f>
        <v>554527.5</v>
      </c>
      <c r="Q14" s="1002">
        <f>I14+J14+K14</f>
        <v>517559</v>
      </c>
      <c r="R14" s="1002">
        <f>L14+M14+N14</f>
        <v>771264.8</v>
      </c>
      <c r="S14" s="1002">
        <f>O14+P14+Q14+R14</f>
        <v>2591795</v>
      </c>
      <c r="T14" s="397">
        <f ca="1">Електроенергія!M23</f>
        <v>2591795</v>
      </c>
      <c r="U14" s="397">
        <f t="shared" si="1"/>
        <v>0</v>
      </c>
    </row>
    <row r="15" spans="2:21" ht="15.75">
      <c r="B15" s="1010" t="str">
        <f>B10</f>
        <v>Оплата інших енергоносіїв (тріска паливна )</v>
      </c>
      <c r="C15" s="1041">
        <f t="shared" ref="C15:N16" si="5">C5+C10</f>
        <v>613186.81318681315</v>
      </c>
      <c r="D15" s="1041">
        <f t="shared" si="5"/>
        <v>553846.15384615376</v>
      </c>
      <c r="E15" s="1041">
        <f t="shared" si="5"/>
        <v>613186.81318681315</v>
      </c>
      <c r="F15" s="1041">
        <f t="shared" si="5"/>
        <v>296703.29670329671</v>
      </c>
      <c r="G15" s="1041">
        <f t="shared" si="5"/>
        <v>0</v>
      </c>
      <c r="H15" s="1041">
        <f t="shared" si="5"/>
        <v>0</v>
      </c>
      <c r="I15" s="1041">
        <f t="shared" si="5"/>
        <v>0</v>
      </c>
      <c r="J15" s="1041">
        <f t="shared" si="5"/>
        <v>0</v>
      </c>
      <c r="K15" s="1041">
        <f t="shared" si="5"/>
        <v>0</v>
      </c>
      <c r="L15" s="1041">
        <f t="shared" si="5"/>
        <v>316483.51648351649</v>
      </c>
      <c r="M15" s="1041">
        <f t="shared" si="5"/>
        <v>593406.59340659343</v>
      </c>
      <c r="N15" s="1041">
        <f t="shared" si="5"/>
        <v>613186.81318681315</v>
      </c>
      <c r="O15" s="1002">
        <f>C15+D15+E15</f>
        <v>1780219.78021978</v>
      </c>
      <c r="P15" s="1002">
        <f>F15+G15+H15</f>
        <v>296703.29670329671</v>
      </c>
      <c r="Q15" s="1002">
        <f>I15+J15+K15</f>
        <v>0</v>
      </c>
      <c r="R15" s="1002">
        <f>L15+M15+N15</f>
        <v>1523076.923076923</v>
      </c>
      <c r="S15" s="1002">
        <f>O15+P15+Q15+R15</f>
        <v>3600000</v>
      </c>
      <c r="T15" s="397">
        <f ca="1">'Інші енергоносії'!H23</f>
        <v>3600000</v>
      </c>
      <c r="U15" s="397">
        <f t="shared" si="1"/>
        <v>0</v>
      </c>
    </row>
    <row r="16" spans="2:21" ht="15.75">
      <c r="B16" s="1010" t="str">
        <f>B11</f>
        <v>Оплата інших енергоносіїв (утилізація сміття)</v>
      </c>
      <c r="C16" s="1041">
        <f t="shared" si="5"/>
        <v>8377.1999999999989</v>
      </c>
      <c r="D16" s="1041">
        <f t="shared" si="5"/>
        <v>8377.1999999999989</v>
      </c>
      <c r="E16" s="1041">
        <f t="shared" si="5"/>
        <v>8377.1999999999989</v>
      </c>
      <c r="F16" s="1041">
        <f t="shared" si="5"/>
        <v>8377.1999999999989</v>
      </c>
      <c r="G16" s="1041">
        <f t="shared" si="5"/>
        <v>8377.1999999999989</v>
      </c>
      <c r="H16" s="1041">
        <f t="shared" si="5"/>
        <v>8377.1999999999989</v>
      </c>
      <c r="I16" s="1041">
        <f t="shared" si="5"/>
        <v>8377.1999999999989</v>
      </c>
      <c r="J16" s="1041">
        <f t="shared" si="5"/>
        <v>8377.1999999999989</v>
      </c>
      <c r="K16" s="1041">
        <f t="shared" si="5"/>
        <v>8377.1999999999989</v>
      </c>
      <c r="L16" s="1041">
        <f t="shared" si="5"/>
        <v>8377.1999999999989</v>
      </c>
      <c r="M16" s="1041">
        <f t="shared" si="5"/>
        <v>8377.1999999999989</v>
      </c>
      <c r="N16" s="1041">
        <f t="shared" si="5"/>
        <v>8377.1999999999989</v>
      </c>
      <c r="O16" s="1002">
        <f>C16+D16+E16</f>
        <v>25131.599999999999</v>
      </c>
      <c r="P16" s="1002">
        <f>F16+G16+H16</f>
        <v>25131.599999999999</v>
      </c>
      <c r="Q16" s="1002">
        <f>I16+J16+K16</f>
        <v>25131.599999999999</v>
      </c>
      <c r="R16" s="1002">
        <f>L16+M16+N16</f>
        <v>25131.599999999999</v>
      </c>
      <c r="S16" s="1002">
        <f>O16+P16+Q16+R16</f>
        <v>100526.39999999999</v>
      </c>
      <c r="T16" s="397">
        <f ca="1">'Інші енергоносії'!H46</f>
        <v>100526.39999999999</v>
      </c>
      <c r="U16" s="397">
        <f t="shared" si="1"/>
        <v>0</v>
      </c>
    </row>
    <row r="19" spans="19:19">
      <c r="S19" s="1079">
        <f>4200000-S4-S6</f>
        <v>1828995.6597457698</v>
      </c>
    </row>
  </sheetData>
  <phoneticPr fontId="66" type="noConversion"/>
  <conditionalFormatting sqref="O3:S6 O8:S11 O13:S16 F4:N13">
    <cfRule type="cellIs" dxfId="2" priority="54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O8:S11 F4:N6 O3:S6 F9:N11 O13:S16">
      <formula1>0</formula1>
    </dataValidation>
  </dataValidations>
  <pageMargins left="0" right="0" top="0" bottom="0" header="0" footer="0"/>
  <pageSetup paperSize="9" scale="61" orientation="landscape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62"/>
  <sheetViews>
    <sheetView view="pageBreakPreview" zoomScale="75" zoomScaleNormal="90" zoomScaleSheetLayoutView="75" workbookViewId="0">
      <selection activeCell="M5" sqref="M5"/>
    </sheetView>
  </sheetViews>
  <sheetFormatPr defaultRowHeight="15"/>
  <cols>
    <col min="1" max="1" width="2.5703125" customWidth="1"/>
    <col min="2" max="2" width="14.140625" style="151" customWidth="1"/>
    <col min="3" max="3" width="11" style="151" hidden="1" customWidth="1"/>
    <col min="4" max="4" width="12.28515625" style="151" hidden="1" customWidth="1"/>
    <col min="5" max="5" width="10.42578125" style="151" hidden="1" customWidth="1"/>
    <col min="6" max="6" width="10.7109375" style="151" customWidth="1"/>
    <col min="7" max="7" width="9.28515625" style="151" bestFit="1" customWidth="1"/>
    <col min="8" max="8" width="10.42578125" style="151" bestFit="1" customWidth="1"/>
    <col min="9" max="9" width="9.140625" style="151" bestFit="1"/>
    <col min="10" max="10" width="8.7109375" style="151" bestFit="1" customWidth="1"/>
    <col min="11" max="11" width="6.42578125" style="151" bestFit="1" customWidth="1"/>
    <col min="12" max="12" width="7.5703125" style="151" bestFit="1" customWidth="1"/>
    <col min="13" max="13" width="13.28515625" style="151" bestFit="1" customWidth="1"/>
    <col min="14" max="14" width="10.42578125" style="151" bestFit="1" customWidth="1"/>
    <col min="15" max="15" width="6.42578125" style="151" bestFit="1" customWidth="1"/>
    <col min="16" max="16" width="12.140625" style="151" bestFit="1" customWidth="1"/>
    <col min="17" max="17" width="6.42578125" style="151" bestFit="1" customWidth="1"/>
    <col min="18" max="18" width="11.7109375" style="151" bestFit="1" customWidth="1"/>
    <col min="19" max="19" width="8.140625" style="151" bestFit="1" customWidth="1"/>
    <col min="20" max="20" width="9.42578125" style="151" bestFit="1" customWidth="1"/>
    <col min="21" max="21" width="12.140625" style="151" bestFit="1" customWidth="1"/>
    <col min="22" max="22" width="9.28515625" style="151" bestFit="1" customWidth="1"/>
    <col min="23" max="23" width="6.42578125" style="151" bestFit="1" customWidth="1"/>
    <col min="24" max="24" width="11.7109375" style="151" bestFit="1" customWidth="1"/>
    <col min="25" max="25" width="6.42578125" style="151" bestFit="1" customWidth="1"/>
    <col min="26" max="26" width="10.5703125" style="151" bestFit="1" customWidth="1"/>
    <col min="27" max="27" width="7.7109375" style="151" bestFit="1" customWidth="1"/>
    <col min="28" max="28" width="9.42578125" style="151" bestFit="1" customWidth="1"/>
    <col min="29" max="29" width="11.5703125" style="151" bestFit="1" customWidth="1"/>
    <col min="30" max="30" width="12.140625" bestFit="1" customWidth="1"/>
    <col min="31" max="31" width="10.140625" bestFit="1" customWidth="1"/>
  </cols>
  <sheetData>
    <row r="1" spans="2:31" s="1071" customFormat="1" ht="25.5">
      <c r="B1" s="1684" t="s">
        <v>903</v>
      </c>
      <c r="C1" s="1685"/>
      <c r="D1" s="1685"/>
      <c r="E1" s="1685"/>
      <c r="F1" s="1685"/>
      <c r="G1" s="1685"/>
      <c r="H1" s="1685"/>
      <c r="I1" s="1685"/>
      <c r="J1" s="1686"/>
      <c r="K1" s="1686"/>
      <c r="L1" s="1686"/>
      <c r="M1" s="1686"/>
      <c r="N1" s="1686"/>
      <c r="O1" s="1686"/>
      <c r="P1" s="1686"/>
      <c r="Q1" s="1686"/>
      <c r="R1" s="1686"/>
      <c r="S1" s="1686"/>
      <c r="T1" s="1686"/>
      <c r="U1" s="1686"/>
      <c r="V1" s="1686"/>
      <c r="W1" s="1686"/>
      <c r="X1" s="1686"/>
      <c r="Y1" s="1686"/>
      <c r="Z1" s="1686"/>
      <c r="AA1" s="1686"/>
      <c r="AB1" s="1686"/>
      <c r="AC1" s="1686"/>
    </row>
    <row r="2" spans="2:31" s="1073" customFormat="1" ht="18.75">
      <c r="B2" s="1072" t="s">
        <v>1629</v>
      </c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N2" s="1075"/>
      <c r="O2" s="1075"/>
      <c r="P2" s="1075"/>
      <c r="Q2" s="1075"/>
      <c r="R2" s="1075"/>
      <c r="S2" s="1075"/>
      <c r="T2" s="1075"/>
      <c r="U2" s="1075"/>
      <c r="V2" s="1075"/>
      <c r="W2" s="1075"/>
      <c r="X2" s="1075"/>
      <c r="Y2" s="1075"/>
      <c r="Z2" s="1075"/>
      <c r="AA2" s="1075"/>
      <c r="AB2" s="1075"/>
      <c r="AC2" s="1075"/>
      <c r="AD2" s="1076"/>
      <c r="AE2" s="1076"/>
    </row>
    <row r="3" spans="2:31" s="1055" customFormat="1" ht="18.75">
      <c r="B3" s="1054"/>
      <c r="C3" s="1687" t="s">
        <v>860</v>
      </c>
      <c r="D3" s="1687"/>
      <c r="E3" s="1687"/>
      <c r="F3" s="1677" t="s">
        <v>861</v>
      </c>
      <c r="G3" s="1677"/>
      <c r="H3" s="1677"/>
      <c r="I3" s="1677"/>
      <c r="J3" s="1677"/>
      <c r="K3" s="1677"/>
      <c r="L3" s="1677"/>
      <c r="M3" s="1677"/>
      <c r="N3" s="1677" t="s">
        <v>862</v>
      </c>
      <c r="O3" s="1677"/>
      <c r="P3" s="1677"/>
      <c r="Q3" s="1677"/>
      <c r="R3" s="1677"/>
      <c r="S3" s="1677"/>
      <c r="T3" s="1677"/>
      <c r="U3" s="1677"/>
      <c r="V3" s="1677" t="s">
        <v>1606</v>
      </c>
      <c r="W3" s="1677"/>
      <c r="X3" s="1677"/>
      <c r="Y3" s="1677"/>
      <c r="Z3" s="1677"/>
      <c r="AA3" s="1677"/>
      <c r="AB3" s="1677"/>
      <c r="AC3" s="1077"/>
      <c r="AD3" s="1077"/>
      <c r="AE3" s="1077"/>
    </row>
    <row r="4" spans="2:31" s="1059" customFormat="1">
      <c r="B4" s="1056"/>
      <c r="C4" s="1056"/>
      <c r="D4" s="1056"/>
      <c r="E4" s="1056"/>
      <c r="F4" s="1057" t="s">
        <v>1607</v>
      </c>
      <c r="G4" s="1680" t="s">
        <v>1608</v>
      </c>
      <c r="H4" s="1682"/>
      <c r="I4" s="1680" t="s">
        <v>1609</v>
      </c>
      <c r="J4" s="1681"/>
      <c r="K4" s="1683" t="s">
        <v>1610</v>
      </c>
      <c r="L4" s="1681"/>
      <c r="M4" s="1058" t="s">
        <v>1542</v>
      </c>
      <c r="N4" s="1057" t="s">
        <v>1607</v>
      </c>
      <c r="O4" s="1680" t="s">
        <v>1608</v>
      </c>
      <c r="P4" s="1682"/>
      <c r="Q4" s="1680" t="s">
        <v>1609</v>
      </c>
      <c r="R4" s="1681"/>
      <c r="S4" s="1683" t="s">
        <v>1610</v>
      </c>
      <c r="T4" s="1681"/>
      <c r="U4" s="1058" t="s">
        <v>1542</v>
      </c>
      <c r="V4" s="1058" t="s">
        <v>1607</v>
      </c>
      <c r="W4" s="1680" t="s">
        <v>1608</v>
      </c>
      <c r="X4" s="1682"/>
      <c r="Y4" s="1680" t="s">
        <v>1609</v>
      </c>
      <c r="Z4" s="1681"/>
      <c r="AA4" s="1683" t="s">
        <v>1610</v>
      </c>
      <c r="AB4" s="1681"/>
      <c r="AC4" s="1058" t="s">
        <v>1542</v>
      </c>
      <c r="AD4" s="1058" t="s">
        <v>863</v>
      </c>
      <c r="AE4" s="1058" t="s">
        <v>863</v>
      </c>
    </row>
    <row r="5" spans="2:31" s="77" customFormat="1" ht="18.75">
      <c r="B5" s="1060"/>
      <c r="C5" s="1060"/>
      <c r="D5" s="1060"/>
      <c r="E5" s="1060"/>
      <c r="F5" s="1057"/>
      <c r="G5" s="1058" t="s">
        <v>1623</v>
      </c>
      <c r="H5" s="1058" t="s">
        <v>1624</v>
      </c>
      <c r="I5" s="1058" t="s">
        <v>1623</v>
      </c>
      <c r="J5" s="1058" t="s">
        <v>1624</v>
      </c>
      <c r="K5" s="1058" t="s">
        <v>1623</v>
      </c>
      <c r="L5" s="1058" t="s">
        <v>1624</v>
      </c>
      <c r="M5" s="1061">
        <f>G6+I6</f>
        <v>7.3737000000000004</v>
      </c>
      <c r="N5" s="1057"/>
      <c r="O5" s="1058" t="s">
        <v>1623</v>
      </c>
      <c r="P5" s="1058" t="s">
        <v>1624</v>
      </c>
      <c r="Q5" s="1058" t="s">
        <v>1623</v>
      </c>
      <c r="R5" s="1058" t="s">
        <v>1624</v>
      </c>
      <c r="S5" s="1058" t="s">
        <v>1623</v>
      </c>
      <c r="T5" s="1058" t="s">
        <v>1624</v>
      </c>
      <c r="U5" s="1058"/>
      <c r="V5" s="1058"/>
      <c r="W5" s="1058" t="s">
        <v>1623</v>
      </c>
      <c r="X5" s="1058" t="s">
        <v>1624</v>
      </c>
      <c r="Y5" s="1058" t="s">
        <v>1623</v>
      </c>
      <c r="Z5" s="1058" t="s">
        <v>1624</v>
      </c>
      <c r="AA5" s="1058" t="s">
        <v>1623</v>
      </c>
      <c r="AB5" s="1058" t="s">
        <v>1624</v>
      </c>
      <c r="AC5" s="1058"/>
      <c r="AD5" s="1058"/>
      <c r="AE5" s="1058"/>
    </row>
    <row r="6" spans="2:31" s="77" customFormat="1" ht="18.75">
      <c r="B6" s="1060" t="s">
        <v>1611</v>
      </c>
      <c r="C6" s="1062">
        <v>33726</v>
      </c>
      <c r="D6" s="1063">
        <f>E6/C6</f>
        <v>6.5585951491430947</v>
      </c>
      <c r="E6" s="1062">
        <v>221195.18000000002</v>
      </c>
      <c r="F6" s="176">
        <v>37000</v>
      </c>
      <c r="G6" s="1074">
        <f>(4+0.52246+((4+0.52246)*20%))</f>
        <v>5.426952</v>
      </c>
      <c r="H6" s="1062">
        <f>F6*G6</f>
        <v>200797.22399999999</v>
      </c>
      <c r="I6" s="1061">
        <f>(1622.29+(1622.29*20%))/1000</f>
        <v>1.9467480000000001</v>
      </c>
      <c r="J6" s="1062">
        <f>F6*I6</f>
        <v>72029.676000000007</v>
      </c>
      <c r="K6" s="1062">
        <v>1500</v>
      </c>
      <c r="L6" s="1062">
        <f>K6</f>
        <v>1500</v>
      </c>
      <c r="M6" s="1063">
        <f t="shared" ref="M6:M17" si="0">H6+J6+L6</f>
        <v>274326.90000000002</v>
      </c>
      <c r="N6" s="176">
        <f>F6-V6</f>
        <v>32560</v>
      </c>
      <c r="O6" s="1064">
        <f>G6</f>
        <v>5.426952</v>
      </c>
      <c r="P6" s="1062">
        <f>N6*O6</f>
        <v>176701.55712000001</v>
      </c>
      <c r="Q6" s="1064">
        <f>I6</f>
        <v>1.9467480000000001</v>
      </c>
      <c r="R6" s="1062">
        <f>N6*Q6</f>
        <v>63386.114880000008</v>
      </c>
      <c r="S6" s="1062">
        <f>K6-AA6</f>
        <v>1320</v>
      </c>
      <c r="T6" s="1062">
        <f>S6</f>
        <v>1320</v>
      </c>
      <c r="U6" s="1062">
        <f t="shared" ref="U6:U17" si="1">P6+R6+T6</f>
        <v>241407.67200000002</v>
      </c>
      <c r="V6" s="1062">
        <f>F6*12%</f>
        <v>4440</v>
      </c>
      <c r="W6" s="1064">
        <f>G6</f>
        <v>5.426952</v>
      </c>
      <c r="X6" s="1062">
        <f>V6*W6</f>
        <v>24095.666880000001</v>
      </c>
      <c r="Y6" s="1064">
        <f>Q6</f>
        <v>1.9467480000000001</v>
      </c>
      <c r="Z6" s="1062">
        <f>V6*Y6</f>
        <v>8643.5611200000003</v>
      </c>
      <c r="AA6" s="1062">
        <f>L6*12%</f>
        <v>180</v>
      </c>
      <c r="AB6" s="1062">
        <f>AA6</f>
        <v>180</v>
      </c>
      <c r="AC6" s="1062">
        <f t="shared" ref="AC6:AC17" si="2">X6+Z6+AB6</f>
        <v>32919.228000000003</v>
      </c>
      <c r="AD6" s="1062">
        <f>AC6+U6</f>
        <v>274326.90000000002</v>
      </c>
      <c r="AE6" s="1062">
        <f>AD6-M6</f>
        <v>0</v>
      </c>
    </row>
    <row r="7" spans="2:31" s="77" customFormat="1">
      <c r="B7" s="1060" t="s">
        <v>1612</v>
      </c>
      <c r="C7" s="1062">
        <v>31527</v>
      </c>
      <c r="D7" s="1063">
        <f t="shared" ref="D7:D17" si="3">E7/C7</f>
        <v>6.5479078250388554</v>
      </c>
      <c r="E7" s="1062">
        <v>206435.88999999998</v>
      </c>
      <c r="F7" s="176">
        <v>34000</v>
      </c>
      <c r="G7" s="1063">
        <f>G6</f>
        <v>5.426952</v>
      </c>
      <c r="H7" s="1062">
        <f t="shared" ref="H7:H17" si="4">F7*G7</f>
        <v>184516.36799999999</v>
      </c>
      <c r="I7" s="1063">
        <f>I6</f>
        <v>1.9467480000000001</v>
      </c>
      <c r="J7" s="1062">
        <f t="shared" ref="J7:J16" si="5">F7*I7</f>
        <v>66189.432000000001</v>
      </c>
      <c r="K7" s="1062">
        <v>1200</v>
      </c>
      <c r="L7" s="1062">
        <f t="shared" ref="L7:L17" si="6">K7</f>
        <v>1200</v>
      </c>
      <c r="M7" s="1063">
        <f t="shared" si="0"/>
        <v>251905.8</v>
      </c>
      <c r="N7" s="176">
        <f t="shared" ref="N7:N17" si="7">F7-V7</f>
        <v>29920</v>
      </c>
      <c r="O7" s="1063">
        <f>O6</f>
        <v>5.426952</v>
      </c>
      <c r="P7" s="1062">
        <f t="shared" ref="P7:P17" si="8">N7*O7</f>
        <v>162374.40384000001</v>
      </c>
      <c r="Q7" s="1063">
        <f>Q6</f>
        <v>1.9467480000000001</v>
      </c>
      <c r="R7" s="1062">
        <f t="shared" ref="R7:R16" si="9">N7*Q7</f>
        <v>58246.700160000008</v>
      </c>
      <c r="S7" s="1062">
        <f t="shared" ref="S7:S17" si="10">K7-AA7</f>
        <v>1056</v>
      </c>
      <c r="T7" s="1062">
        <f t="shared" ref="T7:T17" si="11">S7</f>
        <v>1056</v>
      </c>
      <c r="U7" s="1062">
        <f t="shared" si="1"/>
        <v>221677.10400000002</v>
      </c>
      <c r="V7" s="1062">
        <f t="shared" ref="V7:V17" si="12">F7*12%</f>
        <v>4080</v>
      </c>
      <c r="W7" s="1063">
        <f>W6</f>
        <v>5.426952</v>
      </c>
      <c r="X7" s="1062">
        <f t="shared" ref="X7:X17" si="13">V7*W7</f>
        <v>22141.96416</v>
      </c>
      <c r="Y7" s="1063">
        <f>Y6</f>
        <v>1.9467480000000001</v>
      </c>
      <c r="Z7" s="1062">
        <f>V7*Y7</f>
        <v>7942.7318400000004</v>
      </c>
      <c r="AA7" s="1062">
        <f t="shared" ref="AA7:AA17" si="14">L7*12%</f>
        <v>144</v>
      </c>
      <c r="AB7" s="1062">
        <f t="shared" ref="AB7:AB17" si="15">AA7</f>
        <v>144</v>
      </c>
      <c r="AC7" s="1062">
        <f t="shared" si="2"/>
        <v>30228.696</v>
      </c>
      <c r="AD7" s="1062">
        <f t="shared" ref="AD7:AD17" si="16">AC7+U7</f>
        <v>251905.80000000002</v>
      </c>
      <c r="AE7" s="1062">
        <f t="shared" ref="AE7:AE17" si="17">AD7-M7</f>
        <v>0</v>
      </c>
    </row>
    <row r="8" spans="2:31" s="77" customFormat="1">
      <c r="B8" s="1060" t="s">
        <v>1613</v>
      </c>
      <c r="C8" s="1062">
        <v>28173</v>
      </c>
      <c r="D8" s="1063">
        <f t="shared" si="3"/>
        <v>6.5483381251552899</v>
      </c>
      <c r="E8" s="1062">
        <v>184486.33</v>
      </c>
      <c r="F8" s="176">
        <v>30000</v>
      </c>
      <c r="G8" s="1063">
        <f t="shared" ref="G8:G17" si="18">G7</f>
        <v>5.426952</v>
      </c>
      <c r="H8" s="1062">
        <f t="shared" si="4"/>
        <v>162808.56</v>
      </c>
      <c r="I8" s="1063">
        <f t="shared" ref="I8:I17" si="19">I7</f>
        <v>1.9467480000000001</v>
      </c>
      <c r="J8" s="1062">
        <f t="shared" si="5"/>
        <v>58402.44</v>
      </c>
      <c r="K8" s="1062">
        <v>1000</v>
      </c>
      <c r="L8" s="1062">
        <f t="shared" si="6"/>
        <v>1000</v>
      </c>
      <c r="M8" s="1063">
        <f t="shared" si="0"/>
        <v>222211</v>
      </c>
      <c r="N8" s="176">
        <f t="shared" si="7"/>
        <v>26400</v>
      </c>
      <c r="O8" s="1063">
        <f t="shared" ref="O8:O17" si="20">O7</f>
        <v>5.426952</v>
      </c>
      <c r="P8" s="1062">
        <f t="shared" si="8"/>
        <v>143271.53279999999</v>
      </c>
      <c r="Q8" s="1063">
        <f t="shared" ref="Q8:Q17" si="21">Q7</f>
        <v>1.9467480000000001</v>
      </c>
      <c r="R8" s="1062">
        <f t="shared" si="9"/>
        <v>51394.147200000007</v>
      </c>
      <c r="S8" s="1062">
        <f t="shared" si="10"/>
        <v>880</v>
      </c>
      <c r="T8" s="1062">
        <f t="shared" si="11"/>
        <v>880</v>
      </c>
      <c r="U8" s="1062">
        <f t="shared" si="1"/>
        <v>195545.68</v>
      </c>
      <c r="V8" s="1062">
        <f t="shared" si="12"/>
        <v>3600</v>
      </c>
      <c r="W8" s="1063">
        <f t="shared" ref="W8:W17" si="22">W7</f>
        <v>5.426952</v>
      </c>
      <c r="X8" s="1062">
        <f t="shared" si="13"/>
        <v>19537.0272</v>
      </c>
      <c r="Y8" s="1063">
        <f t="shared" ref="Y8:Y17" si="23">Y7</f>
        <v>1.9467480000000001</v>
      </c>
      <c r="Z8" s="1062">
        <f t="shared" ref="Z8:Z16" si="24">V8*Y8</f>
        <v>7008.2928000000002</v>
      </c>
      <c r="AA8" s="1062">
        <f t="shared" si="14"/>
        <v>120</v>
      </c>
      <c r="AB8" s="1062">
        <f t="shared" si="15"/>
        <v>120</v>
      </c>
      <c r="AC8" s="1062">
        <f t="shared" si="2"/>
        <v>26665.32</v>
      </c>
      <c r="AD8" s="1062">
        <f t="shared" si="16"/>
        <v>222211</v>
      </c>
      <c r="AE8" s="1062">
        <f t="shared" si="17"/>
        <v>0</v>
      </c>
    </row>
    <row r="9" spans="2:31" s="77" customFormat="1">
      <c r="B9" s="1060" t="s">
        <v>1614</v>
      </c>
      <c r="C9" s="1062">
        <v>28601</v>
      </c>
      <c r="D9" s="1063">
        <f t="shared" si="3"/>
        <v>6.5309202475437926</v>
      </c>
      <c r="E9" s="1062">
        <v>186790.85</v>
      </c>
      <c r="F9" s="176">
        <v>30000</v>
      </c>
      <c r="G9" s="1063">
        <f t="shared" si="18"/>
        <v>5.426952</v>
      </c>
      <c r="H9" s="1062">
        <f t="shared" si="4"/>
        <v>162808.56</v>
      </c>
      <c r="I9" s="1063">
        <f t="shared" si="19"/>
        <v>1.9467480000000001</v>
      </c>
      <c r="J9" s="1062">
        <f t="shared" si="5"/>
        <v>58402.44</v>
      </c>
      <c r="K9" s="1062">
        <v>700</v>
      </c>
      <c r="L9" s="1062">
        <f t="shared" si="6"/>
        <v>700</v>
      </c>
      <c r="M9" s="1063">
        <f t="shared" si="0"/>
        <v>221911</v>
      </c>
      <c r="N9" s="176">
        <f t="shared" si="7"/>
        <v>26400</v>
      </c>
      <c r="O9" s="1063">
        <f t="shared" si="20"/>
        <v>5.426952</v>
      </c>
      <c r="P9" s="1062">
        <f t="shared" si="8"/>
        <v>143271.53279999999</v>
      </c>
      <c r="Q9" s="1063">
        <f t="shared" si="21"/>
        <v>1.9467480000000001</v>
      </c>
      <c r="R9" s="1062">
        <f t="shared" si="9"/>
        <v>51394.147200000007</v>
      </c>
      <c r="S9" s="1062">
        <f t="shared" si="10"/>
        <v>616</v>
      </c>
      <c r="T9" s="1062">
        <f t="shared" si="11"/>
        <v>616</v>
      </c>
      <c r="U9" s="1062">
        <f t="shared" si="1"/>
        <v>195281.68</v>
      </c>
      <c r="V9" s="1062">
        <f t="shared" si="12"/>
        <v>3600</v>
      </c>
      <c r="W9" s="1063">
        <f t="shared" si="22"/>
        <v>5.426952</v>
      </c>
      <c r="X9" s="1062">
        <f t="shared" si="13"/>
        <v>19537.0272</v>
      </c>
      <c r="Y9" s="1063">
        <f t="shared" si="23"/>
        <v>1.9467480000000001</v>
      </c>
      <c r="Z9" s="1062">
        <f t="shared" si="24"/>
        <v>7008.2928000000002</v>
      </c>
      <c r="AA9" s="1062">
        <f t="shared" si="14"/>
        <v>84</v>
      </c>
      <c r="AB9" s="1062">
        <f t="shared" si="15"/>
        <v>84</v>
      </c>
      <c r="AC9" s="1062">
        <f t="shared" si="2"/>
        <v>26629.32</v>
      </c>
      <c r="AD9" s="1062">
        <f t="shared" si="16"/>
        <v>221911</v>
      </c>
      <c r="AE9" s="1062">
        <f t="shared" si="17"/>
        <v>0</v>
      </c>
    </row>
    <row r="10" spans="2:31" s="77" customFormat="1">
      <c r="B10" s="1060" t="s">
        <v>1615</v>
      </c>
      <c r="C10" s="1062">
        <v>21301</v>
      </c>
      <c r="D10" s="1063">
        <f t="shared" si="3"/>
        <v>6.5278146565888919</v>
      </c>
      <c r="E10" s="1062">
        <v>139048.97999999998</v>
      </c>
      <c r="F10" s="176">
        <v>25000</v>
      </c>
      <c r="G10" s="1063">
        <f t="shared" si="18"/>
        <v>5.426952</v>
      </c>
      <c r="H10" s="1062">
        <f t="shared" si="4"/>
        <v>135673.79999999999</v>
      </c>
      <c r="I10" s="1063">
        <f t="shared" si="19"/>
        <v>1.9467480000000001</v>
      </c>
      <c r="J10" s="1062">
        <f t="shared" si="5"/>
        <v>48668.700000000004</v>
      </c>
      <c r="K10" s="1062">
        <v>400</v>
      </c>
      <c r="L10" s="1062">
        <f t="shared" si="6"/>
        <v>400</v>
      </c>
      <c r="M10" s="1063">
        <f t="shared" si="0"/>
        <v>184742.5</v>
      </c>
      <c r="N10" s="176">
        <f t="shared" si="7"/>
        <v>22000</v>
      </c>
      <c r="O10" s="1063">
        <f t="shared" si="20"/>
        <v>5.426952</v>
      </c>
      <c r="P10" s="1062">
        <f t="shared" si="8"/>
        <v>119392.944</v>
      </c>
      <c r="Q10" s="1063">
        <f t="shared" si="21"/>
        <v>1.9467480000000001</v>
      </c>
      <c r="R10" s="1062">
        <f t="shared" si="9"/>
        <v>42828.456000000006</v>
      </c>
      <c r="S10" s="1062">
        <f t="shared" si="10"/>
        <v>352</v>
      </c>
      <c r="T10" s="1062">
        <f t="shared" si="11"/>
        <v>352</v>
      </c>
      <c r="U10" s="1062">
        <f t="shared" si="1"/>
        <v>162573.40000000002</v>
      </c>
      <c r="V10" s="1062">
        <f t="shared" si="12"/>
        <v>3000</v>
      </c>
      <c r="W10" s="1063">
        <f t="shared" si="22"/>
        <v>5.426952</v>
      </c>
      <c r="X10" s="1062">
        <f t="shared" si="13"/>
        <v>16280.856</v>
      </c>
      <c r="Y10" s="1063">
        <f t="shared" si="23"/>
        <v>1.9467480000000001</v>
      </c>
      <c r="Z10" s="1062">
        <f t="shared" si="24"/>
        <v>5840.2440000000006</v>
      </c>
      <c r="AA10" s="1062">
        <f t="shared" si="14"/>
        <v>48</v>
      </c>
      <c r="AB10" s="1062">
        <f t="shared" si="15"/>
        <v>48</v>
      </c>
      <c r="AC10" s="1062">
        <f t="shared" si="2"/>
        <v>22169.1</v>
      </c>
      <c r="AD10" s="1062">
        <f t="shared" si="16"/>
        <v>184742.50000000003</v>
      </c>
      <c r="AE10" s="1062">
        <f t="shared" si="17"/>
        <v>0</v>
      </c>
    </row>
    <row r="11" spans="2:31" s="77" customFormat="1">
      <c r="B11" s="1060" t="s">
        <v>1616</v>
      </c>
      <c r="C11" s="1062">
        <v>18384</v>
      </c>
      <c r="D11" s="1063">
        <f t="shared" si="3"/>
        <v>6.5327768711923406</v>
      </c>
      <c r="E11" s="1062">
        <v>120098.56999999999</v>
      </c>
      <c r="F11" s="176">
        <v>20000</v>
      </c>
      <c r="G11" s="1063">
        <f t="shared" si="18"/>
        <v>5.426952</v>
      </c>
      <c r="H11" s="1062">
        <f t="shared" si="4"/>
        <v>108539.04</v>
      </c>
      <c r="I11" s="1063">
        <f t="shared" si="19"/>
        <v>1.9467480000000001</v>
      </c>
      <c r="J11" s="1062">
        <f t="shared" si="5"/>
        <v>38934.960000000006</v>
      </c>
      <c r="K11" s="1062">
        <v>400</v>
      </c>
      <c r="L11" s="1062">
        <f t="shared" si="6"/>
        <v>400</v>
      </c>
      <c r="M11" s="1063">
        <f t="shared" si="0"/>
        <v>147874</v>
      </c>
      <c r="N11" s="176">
        <f t="shared" si="7"/>
        <v>17600</v>
      </c>
      <c r="O11" s="1063">
        <f t="shared" si="20"/>
        <v>5.426952</v>
      </c>
      <c r="P11" s="1062">
        <f t="shared" si="8"/>
        <v>95514.355200000005</v>
      </c>
      <c r="Q11" s="1063">
        <f t="shared" si="21"/>
        <v>1.9467480000000001</v>
      </c>
      <c r="R11" s="1062">
        <f t="shared" si="9"/>
        <v>34262.764800000004</v>
      </c>
      <c r="S11" s="1062">
        <f t="shared" si="10"/>
        <v>352</v>
      </c>
      <c r="T11" s="1062">
        <f t="shared" si="11"/>
        <v>352</v>
      </c>
      <c r="U11" s="1062">
        <f t="shared" si="1"/>
        <v>130129.12000000001</v>
      </c>
      <c r="V11" s="1062">
        <f t="shared" si="12"/>
        <v>2400</v>
      </c>
      <c r="W11" s="1063">
        <f t="shared" si="22"/>
        <v>5.426952</v>
      </c>
      <c r="X11" s="1062">
        <f t="shared" si="13"/>
        <v>13024.684799999999</v>
      </c>
      <c r="Y11" s="1063">
        <f t="shared" si="23"/>
        <v>1.9467480000000001</v>
      </c>
      <c r="Z11" s="1062">
        <f t="shared" si="24"/>
        <v>4672.1952000000001</v>
      </c>
      <c r="AA11" s="1062">
        <f t="shared" si="14"/>
        <v>48</v>
      </c>
      <c r="AB11" s="1062">
        <f t="shared" si="15"/>
        <v>48</v>
      </c>
      <c r="AC11" s="1062">
        <f t="shared" si="2"/>
        <v>17744.879999999997</v>
      </c>
      <c r="AD11" s="1062">
        <f t="shared" si="16"/>
        <v>147874</v>
      </c>
      <c r="AE11" s="1062">
        <f t="shared" si="17"/>
        <v>0</v>
      </c>
    </row>
    <row r="12" spans="2:31" s="77" customFormat="1">
      <c r="B12" s="1060" t="s">
        <v>1617</v>
      </c>
      <c r="C12" s="1062">
        <v>18655</v>
      </c>
      <c r="D12" s="1063">
        <f t="shared" si="3"/>
        <v>6.5333996247654786</v>
      </c>
      <c r="E12" s="1062">
        <v>121880.57</v>
      </c>
      <c r="F12" s="176">
        <v>20000</v>
      </c>
      <c r="G12" s="1063">
        <f t="shared" si="18"/>
        <v>5.426952</v>
      </c>
      <c r="H12" s="1062">
        <f t="shared" si="4"/>
        <v>108539.04</v>
      </c>
      <c r="I12" s="1063">
        <f t="shared" si="19"/>
        <v>1.9467480000000001</v>
      </c>
      <c r="J12" s="1062">
        <f t="shared" si="5"/>
        <v>38934.960000000006</v>
      </c>
      <c r="K12" s="1062">
        <v>400</v>
      </c>
      <c r="L12" s="1062">
        <f t="shared" si="6"/>
        <v>400</v>
      </c>
      <c r="M12" s="1063">
        <f t="shared" si="0"/>
        <v>147874</v>
      </c>
      <c r="N12" s="176">
        <f t="shared" si="7"/>
        <v>17600</v>
      </c>
      <c r="O12" s="1063">
        <f t="shared" si="20"/>
        <v>5.426952</v>
      </c>
      <c r="P12" s="1062">
        <f t="shared" si="8"/>
        <v>95514.355200000005</v>
      </c>
      <c r="Q12" s="1063">
        <f t="shared" si="21"/>
        <v>1.9467480000000001</v>
      </c>
      <c r="R12" s="1062">
        <f t="shared" si="9"/>
        <v>34262.764800000004</v>
      </c>
      <c r="S12" s="1062">
        <f t="shared" si="10"/>
        <v>352</v>
      </c>
      <c r="T12" s="1062">
        <f t="shared" si="11"/>
        <v>352</v>
      </c>
      <c r="U12" s="1062">
        <f t="shared" si="1"/>
        <v>130129.12000000001</v>
      </c>
      <c r="V12" s="1062">
        <f t="shared" si="12"/>
        <v>2400</v>
      </c>
      <c r="W12" s="1063">
        <f t="shared" si="22"/>
        <v>5.426952</v>
      </c>
      <c r="X12" s="1062">
        <f t="shared" si="13"/>
        <v>13024.684799999999</v>
      </c>
      <c r="Y12" s="1063">
        <f t="shared" si="23"/>
        <v>1.9467480000000001</v>
      </c>
      <c r="Z12" s="1062">
        <f t="shared" si="24"/>
        <v>4672.1952000000001</v>
      </c>
      <c r="AA12" s="1062">
        <f t="shared" si="14"/>
        <v>48</v>
      </c>
      <c r="AB12" s="1062">
        <f t="shared" si="15"/>
        <v>48</v>
      </c>
      <c r="AC12" s="1062">
        <f t="shared" si="2"/>
        <v>17744.879999999997</v>
      </c>
      <c r="AD12" s="1062">
        <f t="shared" si="16"/>
        <v>147874</v>
      </c>
      <c r="AE12" s="1062">
        <f t="shared" si="17"/>
        <v>0</v>
      </c>
    </row>
    <row r="13" spans="2:31" s="77" customFormat="1">
      <c r="B13" s="1060" t="s">
        <v>1618</v>
      </c>
      <c r="C13" s="1062">
        <v>17663</v>
      </c>
      <c r="D13" s="1063">
        <f t="shared" si="3"/>
        <v>6.5382075525108982</v>
      </c>
      <c r="E13" s="1062">
        <v>115484.36</v>
      </c>
      <c r="F13" s="176">
        <v>20000</v>
      </c>
      <c r="G13" s="1063">
        <f t="shared" si="18"/>
        <v>5.426952</v>
      </c>
      <c r="H13" s="1062">
        <f t="shared" si="4"/>
        <v>108539.04</v>
      </c>
      <c r="I13" s="1063">
        <f t="shared" si="19"/>
        <v>1.9467480000000001</v>
      </c>
      <c r="J13" s="1062">
        <f t="shared" si="5"/>
        <v>38934.960000000006</v>
      </c>
      <c r="K13" s="1062">
        <v>500</v>
      </c>
      <c r="L13" s="1062">
        <f t="shared" si="6"/>
        <v>500</v>
      </c>
      <c r="M13" s="1063">
        <f t="shared" si="0"/>
        <v>147974</v>
      </c>
      <c r="N13" s="176">
        <f t="shared" si="7"/>
        <v>17600</v>
      </c>
      <c r="O13" s="1063">
        <f t="shared" si="20"/>
        <v>5.426952</v>
      </c>
      <c r="P13" s="1062">
        <f t="shared" si="8"/>
        <v>95514.355200000005</v>
      </c>
      <c r="Q13" s="1063">
        <f t="shared" si="21"/>
        <v>1.9467480000000001</v>
      </c>
      <c r="R13" s="1062">
        <f t="shared" si="9"/>
        <v>34262.764800000004</v>
      </c>
      <c r="S13" s="1062">
        <f t="shared" si="10"/>
        <v>440</v>
      </c>
      <c r="T13" s="1062">
        <f t="shared" si="11"/>
        <v>440</v>
      </c>
      <c r="U13" s="1062">
        <f t="shared" si="1"/>
        <v>130217.12000000001</v>
      </c>
      <c r="V13" s="1062">
        <f t="shared" si="12"/>
        <v>2400</v>
      </c>
      <c r="W13" s="1063">
        <f t="shared" si="22"/>
        <v>5.426952</v>
      </c>
      <c r="X13" s="1062">
        <f t="shared" si="13"/>
        <v>13024.684799999999</v>
      </c>
      <c r="Y13" s="1063">
        <f t="shared" si="23"/>
        <v>1.9467480000000001</v>
      </c>
      <c r="Z13" s="1062">
        <f t="shared" si="24"/>
        <v>4672.1952000000001</v>
      </c>
      <c r="AA13" s="1062">
        <f t="shared" si="14"/>
        <v>60</v>
      </c>
      <c r="AB13" s="1062">
        <f t="shared" si="15"/>
        <v>60</v>
      </c>
      <c r="AC13" s="1062">
        <f t="shared" si="2"/>
        <v>17756.879999999997</v>
      </c>
      <c r="AD13" s="1062">
        <f t="shared" si="16"/>
        <v>147974</v>
      </c>
      <c r="AE13" s="1062">
        <f t="shared" si="17"/>
        <v>0</v>
      </c>
    </row>
    <row r="14" spans="2:31" s="77" customFormat="1">
      <c r="B14" s="1060" t="s">
        <v>1619</v>
      </c>
      <c r="C14" s="1062">
        <v>27669</v>
      </c>
      <c r="D14" s="1063">
        <f t="shared" si="3"/>
        <v>6.5279717373233588</v>
      </c>
      <c r="E14" s="1062">
        <v>180622.45</v>
      </c>
      <c r="F14" s="176">
        <v>30000</v>
      </c>
      <c r="G14" s="1063">
        <f t="shared" si="18"/>
        <v>5.426952</v>
      </c>
      <c r="H14" s="1062">
        <f t="shared" si="4"/>
        <v>162808.56</v>
      </c>
      <c r="I14" s="1063">
        <f t="shared" si="19"/>
        <v>1.9467480000000001</v>
      </c>
      <c r="J14" s="1062">
        <f t="shared" si="5"/>
        <v>58402.44</v>
      </c>
      <c r="K14" s="1062">
        <v>500</v>
      </c>
      <c r="L14" s="1062">
        <f t="shared" si="6"/>
        <v>500</v>
      </c>
      <c r="M14" s="1063">
        <f t="shared" si="0"/>
        <v>221711</v>
      </c>
      <c r="N14" s="176">
        <f t="shared" si="7"/>
        <v>26400</v>
      </c>
      <c r="O14" s="1063">
        <f t="shared" si="20"/>
        <v>5.426952</v>
      </c>
      <c r="P14" s="1062">
        <f t="shared" si="8"/>
        <v>143271.53279999999</v>
      </c>
      <c r="Q14" s="1063">
        <f t="shared" si="21"/>
        <v>1.9467480000000001</v>
      </c>
      <c r="R14" s="1062">
        <f t="shared" si="9"/>
        <v>51394.147200000007</v>
      </c>
      <c r="S14" s="1062">
        <f t="shared" si="10"/>
        <v>440</v>
      </c>
      <c r="T14" s="1062">
        <f t="shared" si="11"/>
        <v>440</v>
      </c>
      <c r="U14" s="1062">
        <f t="shared" si="1"/>
        <v>195105.68</v>
      </c>
      <c r="V14" s="1062">
        <f t="shared" si="12"/>
        <v>3600</v>
      </c>
      <c r="W14" s="1063">
        <f t="shared" si="22"/>
        <v>5.426952</v>
      </c>
      <c r="X14" s="1062">
        <f t="shared" si="13"/>
        <v>19537.0272</v>
      </c>
      <c r="Y14" s="1063">
        <f t="shared" si="23"/>
        <v>1.9467480000000001</v>
      </c>
      <c r="Z14" s="1062">
        <f t="shared" si="24"/>
        <v>7008.2928000000002</v>
      </c>
      <c r="AA14" s="1062">
        <f t="shared" si="14"/>
        <v>60</v>
      </c>
      <c r="AB14" s="1062">
        <f t="shared" si="15"/>
        <v>60</v>
      </c>
      <c r="AC14" s="1062">
        <f t="shared" si="2"/>
        <v>26605.32</v>
      </c>
      <c r="AD14" s="1062">
        <f t="shared" si="16"/>
        <v>221711</v>
      </c>
      <c r="AE14" s="1062">
        <f t="shared" si="17"/>
        <v>0</v>
      </c>
    </row>
    <row r="15" spans="2:31" s="77" customFormat="1">
      <c r="B15" s="1060" t="s">
        <v>1620</v>
      </c>
      <c r="C15" s="1062">
        <v>32581</v>
      </c>
      <c r="D15" s="1063">
        <f t="shared" si="3"/>
        <v>6.5418087228752952</v>
      </c>
      <c r="E15" s="1062">
        <v>213138.66999999998</v>
      </c>
      <c r="F15" s="176">
        <v>33000</v>
      </c>
      <c r="G15" s="1063">
        <f t="shared" si="18"/>
        <v>5.426952</v>
      </c>
      <c r="H15" s="1062">
        <f t="shared" si="4"/>
        <v>179089.416</v>
      </c>
      <c r="I15" s="1063">
        <f t="shared" si="19"/>
        <v>1.9467480000000001</v>
      </c>
      <c r="J15" s="1062">
        <f t="shared" si="5"/>
        <v>64242.684000000008</v>
      </c>
      <c r="K15" s="1062">
        <v>1000</v>
      </c>
      <c r="L15" s="1062">
        <f t="shared" si="6"/>
        <v>1000</v>
      </c>
      <c r="M15" s="1063">
        <f t="shared" si="0"/>
        <v>244332.1</v>
      </c>
      <c r="N15" s="176">
        <f t="shared" si="7"/>
        <v>29040</v>
      </c>
      <c r="O15" s="1063">
        <f t="shared" si="20"/>
        <v>5.426952</v>
      </c>
      <c r="P15" s="1062">
        <f t="shared" si="8"/>
        <v>157598.68608000001</v>
      </c>
      <c r="Q15" s="1063">
        <f t="shared" si="21"/>
        <v>1.9467480000000001</v>
      </c>
      <c r="R15" s="1062">
        <f t="shared" si="9"/>
        <v>56533.561920000007</v>
      </c>
      <c r="S15" s="1062">
        <f t="shared" si="10"/>
        <v>880</v>
      </c>
      <c r="T15" s="1062">
        <f t="shared" si="11"/>
        <v>880</v>
      </c>
      <c r="U15" s="1062">
        <f t="shared" si="1"/>
        <v>215012.24800000002</v>
      </c>
      <c r="V15" s="1062">
        <f t="shared" si="12"/>
        <v>3960</v>
      </c>
      <c r="W15" s="1063">
        <f t="shared" si="22"/>
        <v>5.426952</v>
      </c>
      <c r="X15" s="1062">
        <f t="shared" si="13"/>
        <v>21490.729920000002</v>
      </c>
      <c r="Y15" s="1063">
        <f t="shared" si="23"/>
        <v>1.9467480000000001</v>
      </c>
      <c r="Z15" s="1062">
        <f t="shared" si="24"/>
        <v>7709.122080000001</v>
      </c>
      <c r="AA15" s="1062">
        <f t="shared" si="14"/>
        <v>120</v>
      </c>
      <c r="AB15" s="1062">
        <f t="shared" si="15"/>
        <v>120</v>
      </c>
      <c r="AC15" s="1062">
        <f t="shared" si="2"/>
        <v>29319.852000000003</v>
      </c>
      <c r="AD15" s="1062">
        <f t="shared" si="16"/>
        <v>244332.10000000003</v>
      </c>
      <c r="AE15" s="1062">
        <f t="shared" si="17"/>
        <v>0</v>
      </c>
    </row>
    <row r="16" spans="2:31" s="77" customFormat="1">
      <c r="B16" s="1060" t="s">
        <v>1621</v>
      </c>
      <c r="C16" s="1062">
        <v>35000</v>
      </c>
      <c r="D16" s="1063">
        <f t="shared" si="3"/>
        <v>6.54</v>
      </c>
      <c r="E16" s="1062">
        <f>35000*6.54</f>
        <v>228900</v>
      </c>
      <c r="F16" s="176">
        <f>35000</f>
        <v>35000</v>
      </c>
      <c r="G16" s="1063">
        <f t="shared" si="18"/>
        <v>5.426952</v>
      </c>
      <c r="H16" s="1062">
        <f t="shared" si="4"/>
        <v>189943.32</v>
      </c>
      <c r="I16" s="1063">
        <f t="shared" si="19"/>
        <v>1.9467480000000001</v>
      </c>
      <c r="J16" s="1062">
        <f t="shared" si="5"/>
        <v>68136.180000000008</v>
      </c>
      <c r="K16" s="1062">
        <v>1600</v>
      </c>
      <c r="L16" s="1062">
        <f t="shared" si="6"/>
        <v>1600</v>
      </c>
      <c r="M16" s="1063">
        <f t="shared" si="0"/>
        <v>259679.5</v>
      </c>
      <c r="N16" s="176">
        <f t="shared" si="7"/>
        <v>30800</v>
      </c>
      <c r="O16" s="1063">
        <f t="shared" si="20"/>
        <v>5.426952</v>
      </c>
      <c r="P16" s="1062">
        <f t="shared" si="8"/>
        <v>167150.12160000001</v>
      </c>
      <c r="Q16" s="1063">
        <f t="shared" si="21"/>
        <v>1.9467480000000001</v>
      </c>
      <c r="R16" s="1062">
        <f t="shared" si="9"/>
        <v>59959.838400000008</v>
      </c>
      <c r="S16" s="1062">
        <f t="shared" si="10"/>
        <v>1408</v>
      </c>
      <c r="T16" s="1062">
        <f t="shared" si="11"/>
        <v>1408</v>
      </c>
      <c r="U16" s="1062">
        <f t="shared" si="1"/>
        <v>228517.96000000002</v>
      </c>
      <c r="V16" s="1062">
        <f t="shared" si="12"/>
        <v>4200</v>
      </c>
      <c r="W16" s="1063">
        <f t="shared" si="22"/>
        <v>5.426952</v>
      </c>
      <c r="X16" s="1062">
        <f t="shared" si="13"/>
        <v>22793.198400000001</v>
      </c>
      <c r="Y16" s="1063">
        <f t="shared" si="23"/>
        <v>1.9467480000000001</v>
      </c>
      <c r="Z16" s="1062">
        <f t="shared" si="24"/>
        <v>8176.3416000000007</v>
      </c>
      <c r="AA16" s="1062">
        <f t="shared" si="14"/>
        <v>192</v>
      </c>
      <c r="AB16" s="1062">
        <f t="shared" si="15"/>
        <v>192</v>
      </c>
      <c r="AC16" s="1062">
        <f t="shared" si="2"/>
        <v>31161.54</v>
      </c>
      <c r="AD16" s="1062">
        <f t="shared" si="16"/>
        <v>259679.50000000003</v>
      </c>
      <c r="AE16" s="1062">
        <f t="shared" si="17"/>
        <v>0</v>
      </c>
    </row>
    <row r="17" spans="2:31" s="77" customFormat="1">
      <c r="B17" s="1060" t="s">
        <v>1622</v>
      </c>
      <c r="C17" s="1062">
        <v>35000</v>
      </c>
      <c r="D17" s="1063">
        <f t="shared" si="3"/>
        <v>6.54</v>
      </c>
      <c r="E17" s="1062">
        <f>35000*6.54</f>
        <v>228900</v>
      </c>
      <c r="F17" s="176">
        <v>36000</v>
      </c>
      <c r="G17" s="1063">
        <f t="shared" si="18"/>
        <v>5.426952</v>
      </c>
      <c r="H17" s="1062">
        <f t="shared" si="4"/>
        <v>195370.272</v>
      </c>
      <c r="I17" s="1063">
        <f t="shared" si="19"/>
        <v>1.9467480000000001</v>
      </c>
      <c r="J17" s="1062">
        <f>F17*I17</f>
        <v>70082.928</v>
      </c>
      <c r="K17" s="1062">
        <v>1800</v>
      </c>
      <c r="L17" s="1062">
        <f t="shared" si="6"/>
        <v>1800</v>
      </c>
      <c r="M17" s="1063">
        <f t="shared" si="0"/>
        <v>267253.2</v>
      </c>
      <c r="N17" s="176">
        <f t="shared" si="7"/>
        <v>31680</v>
      </c>
      <c r="O17" s="1063">
        <f t="shared" si="20"/>
        <v>5.426952</v>
      </c>
      <c r="P17" s="1062">
        <f t="shared" si="8"/>
        <v>171925.83936000001</v>
      </c>
      <c r="Q17" s="1063">
        <f t="shared" si="21"/>
        <v>1.9467480000000001</v>
      </c>
      <c r="R17" s="1062">
        <f>N17*Q17</f>
        <v>61672.976640000008</v>
      </c>
      <c r="S17" s="1062">
        <f t="shared" si="10"/>
        <v>1584</v>
      </c>
      <c r="T17" s="1062">
        <f t="shared" si="11"/>
        <v>1584</v>
      </c>
      <c r="U17" s="1062">
        <f t="shared" si="1"/>
        <v>235182.81600000002</v>
      </c>
      <c r="V17" s="1062">
        <f t="shared" si="12"/>
        <v>4320</v>
      </c>
      <c r="W17" s="1063">
        <f t="shared" si="22"/>
        <v>5.426952</v>
      </c>
      <c r="X17" s="1062">
        <f t="shared" si="13"/>
        <v>23444.432639999999</v>
      </c>
      <c r="Y17" s="1063">
        <f t="shared" si="23"/>
        <v>1.9467480000000001</v>
      </c>
      <c r="Z17" s="1062">
        <f>V17*Y17</f>
        <v>8409.9513600000009</v>
      </c>
      <c r="AA17" s="1062">
        <f t="shared" si="14"/>
        <v>216</v>
      </c>
      <c r="AB17" s="1062">
        <f t="shared" si="15"/>
        <v>216</v>
      </c>
      <c r="AC17" s="1062">
        <f t="shared" si="2"/>
        <v>32070.383999999998</v>
      </c>
      <c r="AD17" s="1062">
        <f t="shared" si="16"/>
        <v>267253.2</v>
      </c>
      <c r="AE17" s="1062">
        <f t="shared" si="17"/>
        <v>0</v>
      </c>
    </row>
    <row r="18" spans="2:31" s="703" customFormat="1" ht="14.25">
      <c r="B18" s="1065"/>
      <c r="C18" s="176">
        <f>SUM(C6:C17)</f>
        <v>328280</v>
      </c>
      <c r="D18" s="175">
        <f t="shared" ref="D18:D23" si="25">E18/C18</f>
        <v>6.5400933654197635</v>
      </c>
      <c r="E18" s="176">
        <f>SUM(E6:E17)</f>
        <v>2146981.85</v>
      </c>
      <c r="F18" s="176">
        <f>SUM(F6:F17)</f>
        <v>350000</v>
      </c>
      <c r="G18" s="175">
        <f>H18/F18</f>
        <v>5.4269520000000009</v>
      </c>
      <c r="H18" s="176">
        <f>SUM(H6:H17)</f>
        <v>1899433.2000000002</v>
      </c>
      <c r="I18" s="175">
        <f>J18/F18</f>
        <v>1.9467480000000001</v>
      </c>
      <c r="J18" s="176">
        <f>SUM(J6:J17)</f>
        <v>681361.8</v>
      </c>
      <c r="K18" s="176">
        <f>K17</f>
        <v>1800</v>
      </c>
      <c r="L18" s="176">
        <f>SUM(L6:L17)</f>
        <v>11000</v>
      </c>
      <c r="M18" s="175">
        <f>SUM(M6:M17)</f>
        <v>2591795</v>
      </c>
      <c r="N18" s="176">
        <f>SUM(N6:N17)</f>
        <v>308000</v>
      </c>
      <c r="O18" s="175">
        <f>P18/N18</f>
        <v>5.4269520000000009</v>
      </c>
      <c r="P18" s="176">
        <f>SUM(P6:P17)</f>
        <v>1671501.2160000002</v>
      </c>
      <c r="Q18" s="175">
        <f>R18/N18</f>
        <v>1.9467480000000001</v>
      </c>
      <c r="R18" s="176">
        <f>SUM(R6:R17)</f>
        <v>599598.38400000008</v>
      </c>
      <c r="S18" s="176">
        <f>S17</f>
        <v>1584</v>
      </c>
      <c r="T18" s="176">
        <f>SUM(T6:T17)</f>
        <v>9680</v>
      </c>
      <c r="U18" s="176">
        <f>SUM(U6:U17)</f>
        <v>2280779.6</v>
      </c>
      <c r="V18" s="176">
        <f>SUM(V6:V17)</f>
        <v>42000</v>
      </c>
      <c r="W18" s="175">
        <f>X18/V18</f>
        <v>5.426952</v>
      </c>
      <c r="X18" s="176">
        <f>SUM(X6:X17)</f>
        <v>227931.984</v>
      </c>
      <c r="Y18" s="175">
        <f>Z18/V18</f>
        <v>1.9467480000000004</v>
      </c>
      <c r="Z18" s="176">
        <f>SUM(Z6:Z17)</f>
        <v>81763.416000000012</v>
      </c>
      <c r="AA18" s="176">
        <f>AA17</f>
        <v>216</v>
      </c>
      <c r="AB18" s="176">
        <f>SUM(AB6:AB17)</f>
        <v>1320</v>
      </c>
      <c r="AC18" s="176">
        <f>SUM(AC6:AC17)</f>
        <v>311015.40000000008</v>
      </c>
      <c r="AD18" s="176">
        <f>SUM(AD6:AD17)</f>
        <v>2591795.0000000005</v>
      </c>
      <c r="AE18" s="176">
        <f>SUM(AE6:AE17)</f>
        <v>0</v>
      </c>
    </row>
    <row r="19" spans="2:31" s="1069" customFormat="1">
      <c r="B19" s="1066" t="s">
        <v>1993</v>
      </c>
      <c r="C19" s="1067">
        <f>C6+C7+C8</f>
        <v>93426</v>
      </c>
      <c r="D19" s="175">
        <f t="shared" si="25"/>
        <v>6.5518956179222059</v>
      </c>
      <c r="E19" s="1067">
        <f>E6+E7+E8</f>
        <v>612117.4</v>
      </c>
      <c r="F19" s="1067">
        <f>F6+F7+F8</f>
        <v>101000</v>
      </c>
      <c r="G19" s="1068"/>
      <c r="H19" s="1067">
        <f>H6+H7+H8</f>
        <v>548122.152</v>
      </c>
      <c r="I19" s="1068"/>
      <c r="J19" s="1067">
        <f>J6+J7+J8</f>
        <v>196621.54800000001</v>
      </c>
      <c r="K19" s="1067"/>
      <c r="L19" s="1067">
        <f>L6+L7+L8</f>
        <v>3700</v>
      </c>
      <c r="M19" s="1068">
        <f>M6+M7+M8</f>
        <v>748443.7</v>
      </c>
      <c r="N19" s="1067">
        <f>N6+N7+N8</f>
        <v>88880</v>
      </c>
      <c r="O19" s="1067"/>
      <c r="P19" s="1067">
        <f>P6+P7+P8</f>
        <v>482347.49376000004</v>
      </c>
      <c r="Q19" s="1067"/>
      <c r="R19" s="1067">
        <f>R6+R7+R8</f>
        <v>173026.96224000002</v>
      </c>
      <c r="S19" s="1067"/>
      <c r="T19" s="1067">
        <f>T6+T7+T8</f>
        <v>3256</v>
      </c>
      <c r="U19" s="1067">
        <f>U6+U7+U8</f>
        <v>658630.45600000001</v>
      </c>
      <c r="V19" s="1067">
        <f>V6+V7+V8</f>
        <v>12120</v>
      </c>
      <c r="W19" s="1067"/>
      <c r="X19" s="1067">
        <f>X6+X7+X8</f>
        <v>65774.658240000004</v>
      </c>
      <c r="Y19" s="1067"/>
      <c r="Z19" s="1067">
        <f>Z6+Z7+Z8</f>
        <v>23594.585759999998</v>
      </c>
      <c r="AA19" s="1067"/>
      <c r="AB19" s="1067">
        <f>AB6+AB7+AB8</f>
        <v>444</v>
      </c>
      <c r="AC19" s="1067">
        <f>AC6+AC7+AC8</f>
        <v>89813.244000000006</v>
      </c>
      <c r="AD19" s="1067">
        <f>AD6+AD7+AD8</f>
        <v>748443.70000000007</v>
      </c>
      <c r="AE19" s="1067">
        <f>AE6+AE7+AE8</f>
        <v>0</v>
      </c>
    </row>
    <row r="20" spans="2:31" s="1069" customFormat="1">
      <c r="B20" s="1066" t="s">
        <v>1994</v>
      </c>
      <c r="C20" s="1067">
        <f>C9+C10+C11</f>
        <v>68286</v>
      </c>
      <c r="D20" s="175">
        <f t="shared" si="25"/>
        <v>6.5304513370236936</v>
      </c>
      <c r="E20" s="1067">
        <f>E9+E10+E11</f>
        <v>445938.39999999997</v>
      </c>
      <c r="F20" s="1067">
        <f>F9+F10+F11</f>
        <v>75000</v>
      </c>
      <c r="G20" s="1068"/>
      <c r="H20" s="1067">
        <f>H9+H10+H11</f>
        <v>407021.39999999997</v>
      </c>
      <c r="I20" s="1068"/>
      <c r="J20" s="1067">
        <f>J9+J10+J11</f>
        <v>146006.10000000003</v>
      </c>
      <c r="K20" s="1067"/>
      <c r="L20" s="1067">
        <f>L9+L10+L11</f>
        <v>1500</v>
      </c>
      <c r="M20" s="1068">
        <f>M9+M10+M11</f>
        <v>554527.5</v>
      </c>
      <c r="N20" s="1067">
        <f>N9+N10+N11</f>
        <v>66000</v>
      </c>
      <c r="O20" s="1067"/>
      <c r="P20" s="1067">
        <f>P9+P10+P11</f>
        <v>358178.83199999999</v>
      </c>
      <c r="Q20" s="1067"/>
      <c r="R20" s="1067">
        <f>R9+R10+R11</f>
        <v>128485.36800000002</v>
      </c>
      <c r="S20" s="1067"/>
      <c r="T20" s="1067">
        <f>T9+T10+T11</f>
        <v>1320</v>
      </c>
      <c r="U20" s="1067">
        <f>U9+U10+U11</f>
        <v>487984.2</v>
      </c>
      <c r="V20" s="1067">
        <f>V9+V10+V11</f>
        <v>9000</v>
      </c>
      <c r="W20" s="1067"/>
      <c r="X20" s="1067">
        <f>X9+X10+X11</f>
        <v>48842.567999999999</v>
      </c>
      <c r="Y20" s="1067"/>
      <c r="Z20" s="1067">
        <f>Z9+Z10+Z11</f>
        <v>17520.732000000004</v>
      </c>
      <c r="AA20" s="1067"/>
      <c r="AB20" s="1067">
        <f>AB9+AB10+AB11</f>
        <v>180</v>
      </c>
      <c r="AC20" s="1067">
        <f>AC9+AC10+AC11</f>
        <v>66543.299999999988</v>
      </c>
      <c r="AD20" s="1067">
        <f>AD9+AD10+AD11</f>
        <v>554527.5</v>
      </c>
      <c r="AE20" s="1067">
        <f>AE9+AE10+AE11</f>
        <v>0</v>
      </c>
    </row>
    <row r="21" spans="2:31" s="1069" customFormat="1">
      <c r="B21" s="1066" t="s">
        <v>1995</v>
      </c>
      <c r="C21" s="1067">
        <f>C12+C13+C14</f>
        <v>63987</v>
      </c>
      <c r="D21" s="175">
        <f t="shared" si="25"/>
        <v>6.5323797021269945</v>
      </c>
      <c r="E21" s="1067">
        <f>E12+E13+E14</f>
        <v>417987.38</v>
      </c>
      <c r="F21" s="1067">
        <f>F12+F13+F14</f>
        <v>70000</v>
      </c>
      <c r="G21" s="1068"/>
      <c r="H21" s="1067">
        <f>H12+H13+H14</f>
        <v>379886.64</v>
      </c>
      <c r="I21" s="1068"/>
      <c r="J21" s="1067">
        <f>J12+J13+J14</f>
        <v>136272.36000000002</v>
      </c>
      <c r="K21" s="1067"/>
      <c r="L21" s="1067">
        <f>L12+L13+L14</f>
        <v>1400</v>
      </c>
      <c r="M21" s="1068">
        <f>M12+M13+M14</f>
        <v>517559</v>
      </c>
      <c r="N21" s="1067">
        <f>N12+N13+N14</f>
        <v>61600</v>
      </c>
      <c r="O21" s="1067"/>
      <c r="P21" s="1067">
        <f>P12+P13+P14</f>
        <v>334300.24320000003</v>
      </c>
      <c r="Q21" s="1067"/>
      <c r="R21" s="1067">
        <f>R12+R13+R14</f>
        <v>119919.67680000002</v>
      </c>
      <c r="S21" s="1067"/>
      <c r="T21" s="1067">
        <f>T12+T13+T14</f>
        <v>1232</v>
      </c>
      <c r="U21" s="1067">
        <f>U12+U13+U14</f>
        <v>455451.92000000004</v>
      </c>
      <c r="V21" s="1067">
        <f>V12+V13+V14</f>
        <v>8400</v>
      </c>
      <c r="W21" s="1067"/>
      <c r="X21" s="1067">
        <f>X12+X13+X14</f>
        <v>45586.396800000002</v>
      </c>
      <c r="Y21" s="1067"/>
      <c r="Z21" s="1067">
        <f>Z12+Z13+Z14</f>
        <v>16352.683199999999</v>
      </c>
      <c r="AA21" s="1067"/>
      <c r="AB21" s="1067">
        <f>AB12+AB13+AB14</f>
        <v>168</v>
      </c>
      <c r="AC21" s="1067">
        <f>AC12+AC13+AC14</f>
        <v>62107.079999999994</v>
      </c>
      <c r="AD21" s="1067">
        <f>AD12+AD13+AD14</f>
        <v>517559</v>
      </c>
      <c r="AE21" s="1067">
        <f>AE12+AE13+AE14</f>
        <v>0</v>
      </c>
    </row>
    <row r="22" spans="2:31" s="1069" customFormat="1">
      <c r="B22" s="1066" t="s">
        <v>1635</v>
      </c>
      <c r="C22" s="1067">
        <f>C15+C16+C17</f>
        <v>102581</v>
      </c>
      <c r="D22" s="175">
        <f t="shared" si="25"/>
        <v>6.5405744728555959</v>
      </c>
      <c r="E22" s="1067">
        <f>E15+E16+E17</f>
        <v>670938.66999999993</v>
      </c>
      <c r="F22" s="1067">
        <f>F15+F16+F17</f>
        <v>104000</v>
      </c>
      <c r="G22" s="1068"/>
      <c r="H22" s="1067">
        <f>H15+H16+H17</f>
        <v>564403.00800000003</v>
      </c>
      <c r="I22" s="1068"/>
      <c r="J22" s="1067">
        <f>J15+J16+J17</f>
        <v>202461.79200000002</v>
      </c>
      <c r="K22" s="1067"/>
      <c r="L22" s="1067">
        <f>L15+L16+L17</f>
        <v>4400</v>
      </c>
      <c r="M22" s="1068">
        <f>M15+M16+M17</f>
        <v>771264.8</v>
      </c>
      <c r="N22" s="1067">
        <f>N15+N16+N17</f>
        <v>91520</v>
      </c>
      <c r="O22" s="1067"/>
      <c r="P22" s="1067">
        <f>P15+P16+P17</f>
        <v>496674.64704000007</v>
      </c>
      <c r="Q22" s="1067"/>
      <c r="R22" s="1067">
        <f>R15+R16+R17</f>
        <v>178166.37696000002</v>
      </c>
      <c r="S22" s="1067"/>
      <c r="T22" s="1067">
        <f>T15+T16+T17</f>
        <v>3872</v>
      </c>
      <c r="U22" s="1067">
        <f>U15+U16+U17</f>
        <v>678713.02400000009</v>
      </c>
      <c r="V22" s="1067">
        <f>V15+V16+V17</f>
        <v>12480</v>
      </c>
      <c r="W22" s="1067"/>
      <c r="X22" s="1067">
        <f>X15+X16+X17</f>
        <v>67728.360960000005</v>
      </c>
      <c r="Y22" s="1067"/>
      <c r="Z22" s="1067">
        <f>Z15+Z16+Z17</f>
        <v>24295.41504</v>
      </c>
      <c r="AA22" s="1067"/>
      <c r="AB22" s="1067">
        <f>AB15+AB16+AB17</f>
        <v>528</v>
      </c>
      <c r="AC22" s="1067">
        <f>AC15+AC16+AC17</f>
        <v>92551.776000000013</v>
      </c>
      <c r="AD22" s="1067">
        <f>AD15+AD16+AD17</f>
        <v>771264.8</v>
      </c>
      <c r="AE22" s="1067">
        <f>AE15+AE16+AE17</f>
        <v>0</v>
      </c>
    </row>
    <row r="23" spans="2:31" s="1070" customFormat="1" ht="33" customHeight="1">
      <c r="B23" s="1066" t="s">
        <v>902</v>
      </c>
      <c r="C23" s="1067">
        <f>SUM(C19:C22)</f>
        <v>328280</v>
      </c>
      <c r="D23" s="175">
        <f t="shared" si="25"/>
        <v>6.5400933654197635</v>
      </c>
      <c r="E23" s="1067">
        <f>SUM(E19:E22)</f>
        <v>2146981.85</v>
      </c>
      <c r="F23" s="1067">
        <f>SUM(F19:F22)</f>
        <v>350000</v>
      </c>
      <c r="G23" s="1068"/>
      <c r="H23" s="1067">
        <f>SUM(H19:H22)</f>
        <v>1899433.1999999997</v>
      </c>
      <c r="I23" s="1068"/>
      <c r="J23" s="1067">
        <f>SUM(J19:J22)</f>
        <v>681361.8</v>
      </c>
      <c r="K23" s="1067"/>
      <c r="L23" s="1067">
        <f>SUM(L19:L22)</f>
        <v>11000</v>
      </c>
      <c r="M23" s="1068">
        <f>SUM(M19:M22)</f>
        <v>2591795</v>
      </c>
      <c r="N23" s="1067">
        <f>SUM(N19:N22)</f>
        <v>308000</v>
      </c>
      <c r="O23" s="1067"/>
      <c r="P23" s="1067">
        <f>SUM(P19:P22)</f>
        <v>1671501.216</v>
      </c>
      <c r="Q23" s="1067"/>
      <c r="R23" s="1067">
        <f>SUM(R19:R22)</f>
        <v>599598.38400000008</v>
      </c>
      <c r="S23" s="1067"/>
      <c r="T23" s="1067">
        <f>SUM(T19:T22)</f>
        <v>9680</v>
      </c>
      <c r="U23" s="1067">
        <f>SUM(U19:U22)</f>
        <v>2280779.6</v>
      </c>
      <c r="V23" s="1067">
        <f>SUM(V19:V22)</f>
        <v>42000</v>
      </c>
      <c r="W23" s="1067"/>
      <c r="X23" s="1067">
        <f>SUM(X19:X22)</f>
        <v>227931.984</v>
      </c>
      <c r="Y23" s="1067"/>
      <c r="Z23" s="1067">
        <f>SUM(Z19:Z22)</f>
        <v>81763.415999999997</v>
      </c>
      <c r="AA23" s="1067"/>
      <c r="AB23" s="1067">
        <f>SUM(AB19:AB22)</f>
        <v>1320</v>
      </c>
      <c r="AC23" s="1067">
        <f>SUM(AC19:AC22)</f>
        <v>311015.40000000002</v>
      </c>
      <c r="AD23" s="1067">
        <f>SUM(AD19:AD22)</f>
        <v>2591795</v>
      </c>
      <c r="AE23" s="1067">
        <f>SUM(AE19:AE22)</f>
        <v>0</v>
      </c>
    </row>
    <row r="24" spans="2:31">
      <c r="AC24" s="186"/>
    </row>
    <row r="25" spans="2:31">
      <c r="E25" s="968"/>
      <c r="AC25" s="969"/>
    </row>
    <row r="26" spans="2:31">
      <c r="E26" s="968"/>
      <c r="AC26" s="969"/>
    </row>
    <row r="27" spans="2:31" ht="18.75">
      <c r="B27" s="1688" t="s">
        <v>1642</v>
      </c>
      <c r="C27" s="1664"/>
      <c r="D27" s="1664"/>
      <c r="E27" s="1664"/>
      <c r="F27" s="1664"/>
      <c r="G27" s="1664"/>
      <c r="I27" s="177" t="s">
        <v>1743</v>
      </c>
      <c r="AC27" s="969"/>
    </row>
    <row r="28" spans="2:31" ht="18.75">
      <c r="B28" s="177"/>
      <c r="C28" s="177"/>
      <c r="D28" s="177"/>
      <c r="E28" s="177"/>
      <c r="AC28" s="969"/>
    </row>
    <row r="29" spans="2:31" ht="34.5" customHeight="1">
      <c r="B29" s="1688" t="s">
        <v>1645</v>
      </c>
      <c r="C29" s="1664"/>
      <c r="D29" s="1664"/>
      <c r="E29" s="1664"/>
      <c r="F29" s="1664"/>
      <c r="G29" s="1664"/>
      <c r="I29" s="177" t="s">
        <v>607</v>
      </c>
      <c r="AC29" s="969"/>
    </row>
    <row r="30" spans="2:31">
      <c r="E30" s="968"/>
      <c r="AC30" s="969"/>
    </row>
    <row r="31" spans="2:31" ht="18.75">
      <c r="B31" s="1688" t="s">
        <v>1490</v>
      </c>
      <c r="C31" s="1664"/>
      <c r="D31" s="1664"/>
      <c r="E31" s="1664"/>
      <c r="F31" s="1664"/>
      <c r="G31" s="1664"/>
      <c r="I31" s="177" t="s">
        <v>907</v>
      </c>
      <c r="AC31" s="969"/>
    </row>
    <row r="32" spans="2:31">
      <c r="E32" s="968"/>
      <c r="AC32" s="969"/>
    </row>
    <row r="33" spans="2:29">
      <c r="E33" s="968"/>
      <c r="AC33" s="969"/>
    </row>
    <row r="34" spans="2:29">
      <c r="E34" s="968"/>
      <c r="G34" s="151">
        <v>6.5</v>
      </c>
      <c r="V34" s="968">
        <f>N23+V23</f>
        <v>350000</v>
      </c>
      <c r="AC34" s="969"/>
    </row>
    <row r="35" spans="2:29">
      <c r="E35" s="968"/>
      <c r="G35" s="151">
        <f>G34*F23</f>
        <v>2275000</v>
      </c>
      <c r="AC35" s="969"/>
    </row>
    <row r="36" spans="2:29">
      <c r="E36" s="968"/>
      <c r="G36" s="968">
        <f>G35-H23</f>
        <v>375566.80000000028</v>
      </c>
      <c r="AC36" s="969"/>
    </row>
    <row r="37" spans="2:29">
      <c r="B37" s="1678" t="s">
        <v>883</v>
      </c>
      <c r="C37" s="1678" t="s">
        <v>900</v>
      </c>
      <c r="D37" s="1679">
        <v>44835</v>
      </c>
      <c r="E37" s="1679" t="s">
        <v>901</v>
      </c>
      <c r="F37" s="1678" t="s">
        <v>899</v>
      </c>
      <c r="I37" s="1001"/>
    </row>
    <row r="38" spans="2:29">
      <c r="B38" s="1678"/>
      <c r="C38" s="1678"/>
      <c r="D38" s="1678"/>
      <c r="E38" s="1678"/>
      <c r="F38" s="1678"/>
    </row>
    <row r="39" spans="2:29" ht="39" hidden="1">
      <c r="B39" s="1045" t="s">
        <v>884</v>
      </c>
      <c r="C39" s="475">
        <f>24.2</f>
        <v>24.2</v>
      </c>
      <c r="D39" s="152">
        <v>5439.18</v>
      </c>
      <c r="E39" s="1046">
        <f>D39/10*12</f>
        <v>6527.0159999999996</v>
      </c>
      <c r="F39" s="1053">
        <f>E39/6.54*7.4</f>
        <v>7385.3086238532105</v>
      </c>
    </row>
    <row r="40" spans="2:29" ht="26.25" hidden="1">
      <c r="B40" s="1045" t="s">
        <v>885</v>
      </c>
      <c r="C40" s="475">
        <v>18.2</v>
      </c>
      <c r="D40" s="152">
        <v>8472.06</v>
      </c>
      <c r="E40" s="1046">
        <f t="shared" ref="E40:E56" si="26">D40/10*12</f>
        <v>10166.471999999998</v>
      </c>
      <c r="F40" s="1053">
        <f t="shared" ref="F40:F55" si="27">E40/6.54*7.4</f>
        <v>11503.347522935777</v>
      </c>
    </row>
    <row r="41" spans="2:29" hidden="1">
      <c r="B41" s="1045" t="s">
        <v>886</v>
      </c>
      <c r="C41" s="1047">
        <f>22</f>
        <v>22</v>
      </c>
      <c r="D41" s="152">
        <v>15694.080000000002</v>
      </c>
      <c r="E41" s="1046">
        <f t="shared" si="26"/>
        <v>18832.896000000001</v>
      </c>
      <c r="F41" s="1053">
        <f t="shared" si="27"/>
        <v>21309.39302752294</v>
      </c>
    </row>
    <row r="42" spans="2:29" ht="26.25" hidden="1">
      <c r="B42" s="1045" t="s">
        <v>887</v>
      </c>
      <c r="C42" s="475">
        <f>16.8</f>
        <v>16.8</v>
      </c>
      <c r="D42" s="152">
        <v>124.5</v>
      </c>
      <c r="E42" s="1046">
        <f t="shared" si="26"/>
        <v>149.39999999999998</v>
      </c>
      <c r="F42" s="1053">
        <f t="shared" si="27"/>
        <v>169.04587155963301</v>
      </c>
    </row>
    <row r="43" spans="2:29" ht="26.25" hidden="1">
      <c r="B43" s="1045" t="s">
        <v>887</v>
      </c>
      <c r="C43" s="475">
        <v>13.7</v>
      </c>
      <c r="D43" s="152">
        <v>0</v>
      </c>
      <c r="E43" s="1046">
        <f t="shared" si="26"/>
        <v>0</v>
      </c>
      <c r="F43" s="1053">
        <f t="shared" si="27"/>
        <v>0</v>
      </c>
    </row>
    <row r="44" spans="2:29" ht="39" hidden="1">
      <c r="B44" s="1045" t="s">
        <v>888</v>
      </c>
      <c r="C44" s="475">
        <v>10.5</v>
      </c>
      <c r="D44" s="152">
        <v>1521.3400000000001</v>
      </c>
      <c r="E44" s="1046">
        <f t="shared" si="26"/>
        <v>1825.6080000000002</v>
      </c>
      <c r="F44" s="1053">
        <f t="shared" si="27"/>
        <v>2065.6726605504591</v>
      </c>
    </row>
    <row r="45" spans="2:29" ht="39" hidden="1">
      <c r="B45" s="1045" t="s">
        <v>889</v>
      </c>
      <c r="C45" s="475">
        <v>10.3</v>
      </c>
      <c r="D45" s="152">
        <v>471.04000000000008</v>
      </c>
      <c r="E45" s="1046">
        <f t="shared" si="26"/>
        <v>565.24800000000005</v>
      </c>
      <c r="F45" s="1053">
        <f t="shared" si="27"/>
        <v>639.5772477064221</v>
      </c>
    </row>
    <row r="46" spans="2:29" ht="39" hidden="1">
      <c r="B46" s="1045" t="s">
        <v>890</v>
      </c>
      <c r="C46" s="475">
        <v>16.399999999999999</v>
      </c>
      <c r="D46" s="152">
        <v>2352.66</v>
      </c>
      <c r="E46" s="1046">
        <f t="shared" si="26"/>
        <v>2823.192</v>
      </c>
      <c r="F46" s="1053">
        <f t="shared" si="27"/>
        <v>3194.4374311926604</v>
      </c>
    </row>
    <row r="47" spans="2:29" ht="39" hidden="1">
      <c r="B47" s="1045" t="s">
        <v>891</v>
      </c>
      <c r="C47" s="475">
        <f>9.6</f>
        <v>9.6</v>
      </c>
      <c r="D47" s="152">
        <v>916.17</v>
      </c>
      <c r="E47" s="1046">
        <f t="shared" si="26"/>
        <v>1099.404</v>
      </c>
      <c r="F47" s="1053">
        <f t="shared" si="27"/>
        <v>1243.9739449541285</v>
      </c>
    </row>
    <row r="48" spans="2:29" ht="39" hidden="1">
      <c r="B48" s="1045" t="s">
        <v>892</v>
      </c>
      <c r="C48" s="475">
        <v>21.7</v>
      </c>
      <c r="D48" s="152">
        <v>19284.940000000002</v>
      </c>
      <c r="E48" s="1046">
        <f t="shared" si="26"/>
        <v>23141.928</v>
      </c>
      <c r="F48" s="1053"/>
    </row>
    <row r="49" spans="2:12" ht="51.75" hidden="1">
      <c r="B49" s="1045" t="s">
        <v>893</v>
      </c>
      <c r="C49" s="1047">
        <f>1</f>
        <v>1</v>
      </c>
      <c r="D49" s="152">
        <v>3715.2200000000003</v>
      </c>
      <c r="E49" s="1046">
        <f t="shared" si="26"/>
        <v>4458.264000000001</v>
      </c>
      <c r="F49" s="1053">
        <f t="shared" si="27"/>
        <v>5044.51889908257</v>
      </c>
    </row>
    <row r="50" spans="2:12" ht="51.75" hidden="1">
      <c r="B50" s="1045" t="s">
        <v>894</v>
      </c>
      <c r="C50" s="1048">
        <v>20</v>
      </c>
      <c r="D50" s="152">
        <v>2452.12</v>
      </c>
      <c r="E50" s="1046">
        <f t="shared" si="26"/>
        <v>2942.5439999999999</v>
      </c>
      <c r="F50" s="1053">
        <f t="shared" si="27"/>
        <v>3329.484036697248</v>
      </c>
    </row>
    <row r="51" spans="2:12" hidden="1">
      <c r="B51" s="1045" t="s">
        <v>895</v>
      </c>
      <c r="C51" s="1049">
        <f>931.3</f>
        <v>931.3</v>
      </c>
      <c r="D51" s="152">
        <v>131385.82</v>
      </c>
      <c r="E51" s="1046">
        <f t="shared" si="26"/>
        <v>157662.984</v>
      </c>
      <c r="F51" s="1053">
        <f t="shared" si="27"/>
        <v>178395.42532110092</v>
      </c>
    </row>
    <row r="52" spans="2:12" ht="26.25" hidden="1">
      <c r="B52" s="1045" t="s">
        <v>896</v>
      </c>
      <c r="C52" s="1049">
        <f>100.2</f>
        <v>100.2</v>
      </c>
      <c r="D52" s="152">
        <v>14136</v>
      </c>
      <c r="E52" s="1046">
        <f t="shared" si="26"/>
        <v>16963.199999999997</v>
      </c>
      <c r="F52" s="1053">
        <f t="shared" si="27"/>
        <v>19193.834862385316</v>
      </c>
    </row>
    <row r="53" spans="2:12" ht="26.25" hidden="1">
      <c r="B53" s="1045" t="s">
        <v>896</v>
      </c>
      <c r="C53" s="1049">
        <f>37.8</f>
        <v>37.799999999999997</v>
      </c>
      <c r="D53" s="152">
        <v>0</v>
      </c>
      <c r="E53" s="1046">
        <f t="shared" si="26"/>
        <v>0</v>
      </c>
      <c r="F53" s="1053">
        <v>500</v>
      </c>
    </row>
    <row r="54" spans="2:12" ht="39" hidden="1">
      <c r="B54" s="1045" t="s">
        <v>889</v>
      </c>
      <c r="C54" s="475">
        <f>9.4</f>
        <v>9.4</v>
      </c>
      <c r="D54" s="152">
        <v>388.1</v>
      </c>
      <c r="E54" s="1046">
        <f t="shared" si="26"/>
        <v>465.72</v>
      </c>
      <c r="F54" s="1053">
        <f t="shared" si="27"/>
        <v>526.96146788990825</v>
      </c>
    </row>
    <row r="55" spans="2:12" ht="51.75" hidden="1">
      <c r="B55" s="1045" t="s">
        <v>897</v>
      </c>
      <c r="C55" s="1049">
        <f>14.8</f>
        <v>14.8</v>
      </c>
      <c r="D55" s="152">
        <v>611.04</v>
      </c>
      <c r="E55" s="1046">
        <f t="shared" si="26"/>
        <v>733.24800000000005</v>
      </c>
      <c r="F55" s="1053">
        <f t="shared" si="27"/>
        <v>829.66899082568818</v>
      </c>
    </row>
    <row r="56" spans="2:12" ht="39" hidden="1">
      <c r="B56" s="1045" t="s">
        <v>898</v>
      </c>
      <c r="C56" s="475">
        <v>13.2</v>
      </c>
      <c r="D56" s="152">
        <v>0</v>
      </c>
      <c r="E56" s="1046">
        <f t="shared" si="26"/>
        <v>0</v>
      </c>
      <c r="F56" s="1053">
        <v>500</v>
      </c>
    </row>
    <row r="57" spans="2:12">
      <c r="B57" s="1050" t="s">
        <v>1819</v>
      </c>
      <c r="C57" s="1051">
        <f>SUM(C39:C56)</f>
        <v>1291.0999999999999</v>
      </c>
      <c r="D57" s="1051">
        <f>SUM(D39:D56)</f>
        <v>206964.27000000002</v>
      </c>
      <c r="E57" s="1051">
        <f>SUM(E39:E56)</f>
        <v>248357.12400000001</v>
      </c>
      <c r="F57" s="1052">
        <f>SUM(F39:F56)</f>
        <v>255830.64990825686</v>
      </c>
    </row>
    <row r="62" spans="2:12">
      <c r="L62" s="1081">
        <f>5.45-G6</f>
        <v>2.3048000000000179E-2</v>
      </c>
    </row>
  </sheetData>
  <mergeCells count="22">
    <mergeCell ref="B27:G27"/>
    <mergeCell ref="B29:G29"/>
    <mergeCell ref="B1:AC1"/>
    <mergeCell ref="W4:X4"/>
    <mergeCell ref="Y4:Z4"/>
    <mergeCell ref="AA4:AB4"/>
    <mergeCell ref="C3:E3"/>
    <mergeCell ref="F3:M3"/>
    <mergeCell ref="N3:U3"/>
    <mergeCell ref="I4:J4"/>
    <mergeCell ref="K4:L4"/>
    <mergeCell ref="O4:P4"/>
    <mergeCell ref="V3:AB3"/>
    <mergeCell ref="B37:B38"/>
    <mergeCell ref="C37:C38"/>
    <mergeCell ref="D37:D38"/>
    <mergeCell ref="F37:F38"/>
    <mergeCell ref="E37:E38"/>
    <mergeCell ref="Q4:R4"/>
    <mergeCell ref="G4:H4"/>
    <mergeCell ref="S4:T4"/>
    <mergeCell ref="B31:G31"/>
  </mergeCells>
  <phoneticPr fontId="66" type="noConversion"/>
  <pageMargins left="0" right="0" top="0" bottom="0" header="0" footer="0"/>
  <pageSetup paperSize="9" scale="59" orientation="landscape" verticalDpi="2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view="pageBreakPreview" zoomScale="80" zoomScaleNormal="90" zoomScaleSheetLayoutView="80" workbookViewId="0">
      <selection activeCell="S49" sqref="S49"/>
    </sheetView>
  </sheetViews>
  <sheetFormatPr defaultRowHeight="15"/>
  <cols>
    <col min="1" max="1" width="3.7109375" customWidth="1"/>
    <col min="2" max="2" width="53.140625" style="151" customWidth="1"/>
    <col min="3" max="5" width="10.85546875" style="151" hidden="1" customWidth="1"/>
    <col min="6" max="6" width="11.42578125" style="151" bestFit="1" customWidth="1"/>
    <col min="7" max="7" width="10" style="151" bestFit="1" customWidth="1"/>
    <col min="8" max="8" width="12.28515625" style="151" bestFit="1" customWidth="1"/>
    <col min="9" max="9" width="10.140625" style="151" customWidth="1"/>
    <col min="10" max="10" width="11.42578125" style="151" bestFit="1" customWidth="1"/>
    <col min="11" max="11" width="10" style="151" bestFit="1" customWidth="1"/>
    <col min="12" max="12" width="13.140625" style="151" bestFit="1" customWidth="1"/>
    <col min="13" max="13" width="11.42578125" style="151" bestFit="1" customWidth="1"/>
    <col min="14" max="14" width="10" style="151" bestFit="1" customWidth="1"/>
    <col min="15" max="15" width="11.42578125" style="151" bestFit="1" customWidth="1"/>
  </cols>
  <sheetData>
    <row r="2" spans="2:15" s="187" customFormat="1" ht="15.75">
      <c r="B2" s="1018" t="s">
        <v>1630</v>
      </c>
      <c r="C2" s="1689" t="s">
        <v>860</v>
      </c>
      <c r="D2" s="1689"/>
      <c r="E2" s="1689"/>
      <c r="F2" s="1690" t="s">
        <v>1547</v>
      </c>
      <c r="G2" s="1690"/>
      <c r="H2" s="1690"/>
      <c r="I2" s="1690"/>
      <c r="J2" s="1690" t="s">
        <v>1639</v>
      </c>
      <c r="K2" s="1690"/>
      <c r="L2" s="1690"/>
      <c r="M2" s="1690" t="s">
        <v>1606</v>
      </c>
      <c r="N2" s="1690"/>
      <c r="O2" s="1690"/>
    </row>
    <row r="3" spans="2:15" s="188" customFormat="1" ht="15.75">
      <c r="B3" s="1019" t="s">
        <v>803</v>
      </c>
      <c r="C3" s="1019"/>
      <c r="D3" s="1019"/>
      <c r="E3" s="1019"/>
      <c r="F3" s="1007"/>
      <c r="G3" s="1007"/>
      <c r="H3" s="1007"/>
      <c r="I3" s="1007"/>
      <c r="J3" s="1007"/>
      <c r="K3" s="1007"/>
      <c r="L3" s="1007"/>
      <c r="M3" s="1007"/>
      <c r="N3" s="1007"/>
      <c r="O3" s="1007"/>
    </row>
    <row r="4" spans="2:15" s="188" customFormat="1" ht="15.75">
      <c r="B4" s="1019" t="s">
        <v>804</v>
      </c>
      <c r="C4" s="1019"/>
      <c r="D4" s="1019"/>
      <c r="E4" s="1019"/>
      <c r="F4" s="1007"/>
      <c r="G4" s="1007"/>
      <c r="H4" s="1007"/>
      <c r="I4" s="1007"/>
      <c r="J4" s="1007"/>
      <c r="K4" s="1007"/>
      <c r="L4" s="1007"/>
      <c r="M4" s="1007"/>
      <c r="N4" s="1007"/>
      <c r="O4" s="1007"/>
    </row>
    <row r="5" spans="2:15" s="41" customFormat="1" ht="15.75">
      <c r="B5" s="1021"/>
      <c r="C5" s="1021"/>
      <c r="D5" s="1021"/>
      <c r="E5" s="1021"/>
      <c r="F5" s="1022" t="s">
        <v>1636</v>
      </c>
      <c r="G5" s="1022" t="s">
        <v>1623</v>
      </c>
      <c r="H5" s="1022" t="s">
        <v>1624</v>
      </c>
      <c r="I5" s="1022" t="s">
        <v>1637</v>
      </c>
      <c r="J5" s="1022" t="s">
        <v>1636</v>
      </c>
      <c r="K5" s="1022" t="s">
        <v>1623</v>
      </c>
      <c r="L5" s="1022" t="s">
        <v>1624</v>
      </c>
      <c r="M5" s="1022" t="s">
        <v>1636</v>
      </c>
      <c r="N5" s="1022" t="s">
        <v>1623</v>
      </c>
      <c r="O5" s="1022" t="s">
        <v>1624</v>
      </c>
    </row>
    <row r="6" spans="2:15" s="39" customFormat="1" ht="15.75">
      <c r="B6" s="1023" t="s">
        <v>1611</v>
      </c>
      <c r="C6" s="1024">
        <v>632.94000000000005</v>
      </c>
      <c r="D6" s="1024">
        <f>E6/C6</f>
        <v>729.92700729927003</v>
      </c>
      <c r="E6" s="1024">
        <v>462000</v>
      </c>
      <c r="F6" s="1024">
        <f>3600/182*I6</f>
        <v>613.1868131868132</v>
      </c>
      <c r="G6" s="1025">
        <v>1000</v>
      </c>
      <c r="H6" s="1024">
        <f>F6*G6</f>
        <v>613186.81318681315</v>
      </c>
      <c r="I6" s="1024">
        <v>31</v>
      </c>
      <c r="J6" s="1024">
        <f t="shared" ref="J6:J17" si="0">F6-M6</f>
        <v>548.17776474114692</v>
      </c>
      <c r="K6" s="1024">
        <f>L6/J6</f>
        <v>999.99999999999977</v>
      </c>
      <c r="L6" s="1024">
        <f t="shared" ref="L6:L17" si="1">H6-O6</f>
        <v>548177.76474114682</v>
      </c>
      <c r="M6" s="1024">
        <f>O6/N6</f>
        <v>65.009048445666295</v>
      </c>
      <c r="N6" s="1024">
        <f>G6</f>
        <v>1000</v>
      </c>
      <c r="O6" s="1024">
        <f>H6/11973.4*1269.4</f>
        <v>65009.048445666289</v>
      </c>
    </row>
    <row r="7" spans="2:15" s="39" customFormat="1" ht="15.75">
      <c r="B7" s="1023" t="s">
        <v>1612</v>
      </c>
      <c r="C7" s="1024">
        <v>372</v>
      </c>
      <c r="D7" s="1024">
        <v>588.99602150537635</v>
      </c>
      <c r="E7" s="1024">
        <v>219106.52</v>
      </c>
      <c r="F7" s="1024">
        <f t="shared" ref="F7:F17" si="2">3600/182*I7</f>
        <v>553.84615384615381</v>
      </c>
      <c r="G7" s="1024">
        <f>G6</f>
        <v>1000</v>
      </c>
      <c r="H7" s="1024">
        <f t="shared" ref="H7:H17" si="3">F7*G7</f>
        <v>553846.15384615376</v>
      </c>
      <c r="I7" s="1024">
        <v>28</v>
      </c>
      <c r="J7" s="1024">
        <f t="shared" si="0"/>
        <v>495.12830363716489</v>
      </c>
      <c r="K7" s="1024">
        <f t="shared" ref="K7:K17" si="4">L7/J7</f>
        <v>1000</v>
      </c>
      <c r="L7" s="1024">
        <f t="shared" si="1"/>
        <v>495128.30363716488</v>
      </c>
      <c r="M7" s="1024">
        <f t="shared" ref="M7:M17" si="5">O7/N7</f>
        <v>58.717850208988892</v>
      </c>
      <c r="N7" s="1024">
        <f>N6</f>
        <v>1000</v>
      </c>
      <c r="O7" s="1024">
        <f t="shared" ref="O7:O17" si="6">H7/11973.4*1269.4</f>
        <v>58717.850208988893</v>
      </c>
    </row>
    <row r="8" spans="2:15" s="39" customFormat="1" ht="15.75">
      <c r="B8" s="1023" t="s">
        <v>1613</v>
      </c>
      <c r="C8" s="1024">
        <v>372</v>
      </c>
      <c r="D8" s="1024">
        <v>588.99602150537635</v>
      </c>
      <c r="E8" s="1024">
        <v>219106.52</v>
      </c>
      <c r="F8" s="1024">
        <f t="shared" si="2"/>
        <v>613.1868131868132</v>
      </c>
      <c r="G8" s="1024">
        <f>G7</f>
        <v>1000</v>
      </c>
      <c r="H8" s="1024">
        <f t="shared" si="3"/>
        <v>613186.81318681315</v>
      </c>
      <c r="I8" s="1024">
        <v>31</v>
      </c>
      <c r="J8" s="1024">
        <f t="shared" si="0"/>
        <v>548.17776474114692</v>
      </c>
      <c r="K8" s="1024">
        <f t="shared" si="4"/>
        <v>999.99999999999977</v>
      </c>
      <c r="L8" s="1024">
        <f t="shared" si="1"/>
        <v>548177.76474114682</v>
      </c>
      <c r="M8" s="1024">
        <f t="shared" si="5"/>
        <v>65.009048445666295</v>
      </c>
      <c r="N8" s="1024">
        <f>N7</f>
        <v>1000</v>
      </c>
      <c r="O8" s="1024">
        <f t="shared" si="6"/>
        <v>65009.048445666289</v>
      </c>
    </row>
    <row r="9" spans="2:15" s="39" customFormat="1" ht="15.75">
      <c r="B9" s="1023" t="s">
        <v>1614</v>
      </c>
      <c r="C9" s="1024">
        <v>186</v>
      </c>
      <c r="D9" s="1024">
        <v>588.99602150537635</v>
      </c>
      <c r="E9" s="1024">
        <v>109553.26</v>
      </c>
      <c r="F9" s="1024">
        <f t="shared" si="2"/>
        <v>296.7032967032967</v>
      </c>
      <c r="G9" s="1024">
        <f>G8</f>
        <v>1000</v>
      </c>
      <c r="H9" s="1024">
        <f t="shared" si="3"/>
        <v>296703.29670329671</v>
      </c>
      <c r="I9" s="1024">
        <v>15</v>
      </c>
      <c r="J9" s="1024">
        <f t="shared" si="0"/>
        <v>265.24730551990979</v>
      </c>
      <c r="K9" s="1024">
        <f t="shared" si="4"/>
        <v>1000</v>
      </c>
      <c r="L9" s="1024">
        <f t="shared" si="1"/>
        <v>265247.30551990977</v>
      </c>
      <c r="M9" s="1024">
        <f t="shared" si="5"/>
        <v>31.455991183386917</v>
      </c>
      <c r="N9" s="1024">
        <f>N8</f>
        <v>1000</v>
      </c>
      <c r="O9" s="1024">
        <f t="shared" si="6"/>
        <v>31455.991183386916</v>
      </c>
    </row>
    <row r="10" spans="2:15" s="39" customFormat="1" ht="15.75" hidden="1">
      <c r="B10" s="1023" t="s">
        <v>1615</v>
      </c>
      <c r="C10" s="1024"/>
      <c r="D10" s="1024"/>
      <c r="E10" s="1024">
        <v>0</v>
      </c>
      <c r="F10" s="1024">
        <f t="shared" si="2"/>
        <v>0</v>
      </c>
      <c r="G10" s="1024"/>
      <c r="H10" s="1024">
        <f t="shared" si="3"/>
        <v>0</v>
      </c>
      <c r="I10" s="1024"/>
      <c r="J10" s="1024">
        <f t="shared" si="0"/>
        <v>0</v>
      </c>
      <c r="K10" s="1024" t="e">
        <f t="shared" si="4"/>
        <v>#DIV/0!</v>
      </c>
      <c r="L10" s="1024">
        <f t="shared" si="1"/>
        <v>0</v>
      </c>
      <c r="M10" s="1024">
        <f t="shared" si="5"/>
        <v>0</v>
      </c>
      <c r="N10" s="1024">
        <f t="shared" ref="N10:N17" si="7">N9</f>
        <v>1000</v>
      </c>
      <c r="O10" s="1024">
        <f t="shared" si="6"/>
        <v>0</v>
      </c>
    </row>
    <row r="11" spans="2:15" s="39" customFormat="1" ht="15.75" hidden="1">
      <c r="B11" s="1023" t="s">
        <v>1616</v>
      </c>
      <c r="C11" s="1024"/>
      <c r="D11" s="1024"/>
      <c r="E11" s="1024">
        <v>0</v>
      </c>
      <c r="F11" s="1024">
        <f t="shared" si="2"/>
        <v>0</v>
      </c>
      <c r="G11" s="1024"/>
      <c r="H11" s="1024">
        <f t="shared" si="3"/>
        <v>0</v>
      </c>
      <c r="I11" s="1024"/>
      <c r="J11" s="1024">
        <f t="shared" si="0"/>
        <v>0</v>
      </c>
      <c r="K11" s="1024" t="e">
        <f t="shared" si="4"/>
        <v>#DIV/0!</v>
      </c>
      <c r="L11" s="1024">
        <f t="shared" si="1"/>
        <v>0</v>
      </c>
      <c r="M11" s="1024">
        <f t="shared" si="5"/>
        <v>0</v>
      </c>
      <c r="N11" s="1024">
        <f t="shared" si="7"/>
        <v>1000</v>
      </c>
      <c r="O11" s="1024">
        <f t="shared" si="6"/>
        <v>0</v>
      </c>
    </row>
    <row r="12" spans="2:15" s="39" customFormat="1" ht="15.75" hidden="1">
      <c r="B12" s="1023" t="s">
        <v>1617</v>
      </c>
      <c r="C12" s="1024"/>
      <c r="D12" s="1024"/>
      <c r="E12" s="1024">
        <v>0</v>
      </c>
      <c r="F12" s="1024">
        <f t="shared" si="2"/>
        <v>0</v>
      </c>
      <c r="G12" s="1024"/>
      <c r="H12" s="1024">
        <f t="shared" si="3"/>
        <v>0</v>
      </c>
      <c r="I12" s="1024"/>
      <c r="J12" s="1024">
        <f t="shared" si="0"/>
        <v>0</v>
      </c>
      <c r="K12" s="1024" t="e">
        <f t="shared" si="4"/>
        <v>#DIV/0!</v>
      </c>
      <c r="L12" s="1024">
        <f t="shared" si="1"/>
        <v>0</v>
      </c>
      <c r="M12" s="1024">
        <f t="shared" si="5"/>
        <v>0</v>
      </c>
      <c r="N12" s="1024">
        <f t="shared" si="7"/>
        <v>1000</v>
      </c>
      <c r="O12" s="1024">
        <f t="shared" si="6"/>
        <v>0</v>
      </c>
    </row>
    <row r="13" spans="2:15" s="39" customFormat="1" ht="15.75" hidden="1">
      <c r="B13" s="1023" t="s">
        <v>1618</v>
      </c>
      <c r="C13" s="1024"/>
      <c r="D13" s="1024"/>
      <c r="E13" s="1024">
        <v>0</v>
      </c>
      <c r="F13" s="1024">
        <f t="shared" si="2"/>
        <v>0</v>
      </c>
      <c r="G13" s="1024"/>
      <c r="H13" s="1024">
        <f t="shared" si="3"/>
        <v>0</v>
      </c>
      <c r="I13" s="1024"/>
      <c r="J13" s="1024">
        <f t="shared" si="0"/>
        <v>0</v>
      </c>
      <c r="K13" s="1024" t="e">
        <f t="shared" si="4"/>
        <v>#DIV/0!</v>
      </c>
      <c r="L13" s="1024">
        <f t="shared" si="1"/>
        <v>0</v>
      </c>
      <c r="M13" s="1024">
        <f t="shared" si="5"/>
        <v>0</v>
      </c>
      <c r="N13" s="1024">
        <f t="shared" si="7"/>
        <v>1000</v>
      </c>
      <c r="O13" s="1024">
        <f t="shared" si="6"/>
        <v>0</v>
      </c>
    </row>
    <row r="14" spans="2:15" s="39" customFormat="1" ht="15.75" hidden="1">
      <c r="B14" s="1023" t="s">
        <v>1619</v>
      </c>
      <c r="C14" s="1024"/>
      <c r="D14" s="1024"/>
      <c r="E14" s="1024">
        <v>0</v>
      </c>
      <c r="F14" s="1024">
        <f t="shared" si="2"/>
        <v>0</v>
      </c>
      <c r="G14" s="1024"/>
      <c r="H14" s="1024">
        <f t="shared" si="3"/>
        <v>0</v>
      </c>
      <c r="I14" s="1024"/>
      <c r="J14" s="1024">
        <f t="shared" si="0"/>
        <v>0</v>
      </c>
      <c r="K14" s="1024" t="e">
        <f t="shared" si="4"/>
        <v>#DIV/0!</v>
      </c>
      <c r="L14" s="1024">
        <f t="shared" si="1"/>
        <v>0</v>
      </c>
      <c r="M14" s="1024">
        <f t="shared" si="5"/>
        <v>0</v>
      </c>
      <c r="N14" s="1024">
        <f t="shared" si="7"/>
        <v>1000</v>
      </c>
      <c r="O14" s="1024">
        <f t="shared" si="6"/>
        <v>0</v>
      </c>
    </row>
    <row r="15" spans="2:15" s="39" customFormat="1" ht="15.75">
      <c r="B15" s="1023" t="s">
        <v>1620</v>
      </c>
      <c r="C15" s="1024">
        <v>590.80000000000007</v>
      </c>
      <c r="D15" s="1024">
        <v>549.00001692620185</v>
      </c>
      <c r="E15" s="1024">
        <v>324349.21000000008</v>
      </c>
      <c r="F15" s="1024">
        <f t="shared" si="2"/>
        <v>316.4835164835165</v>
      </c>
      <c r="G15" s="1024">
        <f>G9</f>
        <v>1000</v>
      </c>
      <c r="H15" s="1024">
        <f t="shared" si="3"/>
        <v>316483.51648351649</v>
      </c>
      <c r="I15" s="1024">
        <v>16</v>
      </c>
      <c r="J15" s="1024">
        <f t="shared" si="0"/>
        <v>282.93045922123713</v>
      </c>
      <c r="K15" s="1024">
        <f t="shared" si="4"/>
        <v>999.99999999999989</v>
      </c>
      <c r="L15" s="1024">
        <f t="shared" si="1"/>
        <v>282930.45922123711</v>
      </c>
      <c r="M15" s="1024">
        <f t="shared" si="5"/>
        <v>33.553057262279374</v>
      </c>
      <c r="N15" s="1024">
        <f t="shared" si="7"/>
        <v>1000</v>
      </c>
      <c r="O15" s="1024">
        <f t="shared" si="6"/>
        <v>33553.057262279377</v>
      </c>
    </row>
    <row r="16" spans="2:15" s="39" customFormat="1" ht="15.75">
      <c r="B16" s="1023" t="s">
        <v>1621</v>
      </c>
      <c r="C16" s="1024">
        <v>590.78000000000009</v>
      </c>
      <c r="D16" s="1024">
        <v>549.0186194522496</v>
      </c>
      <c r="E16" s="1024">
        <v>324349.22000000009</v>
      </c>
      <c r="F16" s="1024">
        <f t="shared" si="2"/>
        <v>593.4065934065934</v>
      </c>
      <c r="G16" s="1024">
        <f>G15</f>
        <v>1000</v>
      </c>
      <c r="H16" s="1024">
        <f t="shared" si="3"/>
        <v>593406.59340659343</v>
      </c>
      <c r="I16" s="1024">
        <v>30</v>
      </c>
      <c r="J16" s="1024">
        <f t="shared" si="0"/>
        <v>530.49461103981957</v>
      </c>
      <c r="K16" s="1024">
        <f t="shared" si="4"/>
        <v>1000</v>
      </c>
      <c r="L16" s="1024">
        <f t="shared" si="1"/>
        <v>530494.61103981955</v>
      </c>
      <c r="M16" s="1024">
        <f t="shared" si="5"/>
        <v>62.911982366773834</v>
      </c>
      <c r="N16" s="1024">
        <f t="shared" si="7"/>
        <v>1000</v>
      </c>
      <c r="O16" s="1024">
        <f t="shared" si="6"/>
        <v>62911.982366773831</v>
      </c>
    </row>
    <row r="17" spans="2:15" s="39" customFormat="1" ht="15.75">
      <c r="B17" s="1023" t="s">
        <v>1622</v>
      </c>
      <c r="C17" s="1024">
        <f>E17/D17</f>
        <v>1329.3515172489163</v>
      </c>
      <c r="D17" s="1024">
        <v>549.02</v>
      </c>
      <c r="E17" s="1024">
        <f>582711.57+147129</f>
        <v>729840.57</v>
      </c>
      <c r="F17" s="1024">
        <f t="shared" si="2"/>
        <v>613.1868131868132</v>
      </c>
      <c r="G17" s="1024">
        <f>G16</f>
        <v>1000</v>
      </c>
      <c r="H17" s="1024">
        <f t="shared" si="3"/>
        <v>613186.81318681315</v>
      </c>
      <c r="I17" s="1024">
        <v>31</v>
      </c>
      <c r="J17" s="1024">
        <f t="shared" si="0"/>
        <v>548.17776474114692</v>
      </c>
      <c r="K17" s="1024">
        <f t="shared" si="4"/>
        <v>999.99999999999977</v>
      </c>
      <c r="L17" s="1024">
        <f t="shared" si="1"/>
        <v>548177.76474114682</v>
      </c>
      <c r="M17" s="1024">
        <f t="shared" si="5"/>
        <v>65.009048445666295</v>
      </c>
      <c r="N17" s="1024">
        <f t="shared" si="7"/>
        <v>1000</v>
      </c>
      <c r="O17" s="1024">
        <f t="shared" si="6"/>
        <v>65009.048445666289</v>
      </c>
    </row>
    <row r="18" spans="2:15" s="42" customFormat="1" ht="15.75">
      <c r="B18" s="1026"/>
      <c r="C18" s="1027"/>
      <c r="D18" s="1027"/>
      <c r="E18" s="1027"/>
      <c r="F18" s="1028"/>
      <c r="G18" s="1028"/>
      <c r="H18" s="1028"/>
      <c r="I18" s="1028"/>
      <c r="J18" s="1028"/>
      <c r="K18" s="1028"/>
      <c r="L18" s="1028"/>
      <c r="M18" s="1028"/>
      <c r="N18" s="1028"/>
      <c r="O18" s="1028"/>
    </row>
    <row r="19" spans="2:15" s="970" customFormat="1" ht="15.75">
      <c r="B19" s="1029" t="s">
        <v>1993</v>
      </c>
      <c r="C19" s="1030">
        <f>C6+C7+C8</f>
        <v>1376.94</v>
      </c>
      <c r="D19" s="1030">
        <f>D6+D7+D8</f>
        <v>1907.9190503100228</v>
      </c>
      <c r="E19" s="1030">
        <f>E6+E7+E8</f>
        <v>900213.04</v>
      </c>
      <c r="F19" s="1030">
        <f>F6+F7+F8</f>
        <v>1780.2197802197802</v>
      </c>
      <c r="G19" s="1030"/>
      <c r="H19" s="1030">
        <f>H6+H7+H8</f>
        <v>1780219.78021978</v>
      </c>
      <c r="I19" s="1030">
        <f>I6+I7+I8</f>
        <v>90</v>
      </c>
      <c r="J19" s="1030">
        <f>J6+J7+J8</f>
        <v>1591.4838331194587</v>
      </c>
      <c r="K19" s="1030"/>
      <c r="L19" s="1030">
        <f>L6+L7+L8</f>
        <v>1591483.8331194585</v>
      </c>
      <c r="M19" s="1030">
        <f>M6+M7+M8</f>
        <v>188.73594710032148</v>
      </c>
      <c r="N19" s="1030"/>
      <c r="O19" s="1030">
        <f>O6+O7+O8</f>
        <v>188735.94710032147</v>
      </c>
    </row>
    <row r="20" spans="2:15" s="970" customFormat="1" ht="15.75">
      <c r="B20" s="1029" t="s">
        <v>1994</v>
      </c>
      <c r="C20" s="1030">
        <f>C9+C10+C11</f>
        <v>186</v>
      </c>
      <c r="D20" s="1030">
        <f>D9+D10+D11</f>
        <v>588.99602150537635</v>
      </c>
      <c r="E20" s="1030">
        <f>E9+E10+E11</f>
        <v>109553.26</v>
      </c>
      <c r="F20" s="1030">
        <f>F9+F10+F11</f>
        <v>296.7032967032967</v>
      </c>
      <c r="G20" s="1030"/>
      <c r="H20" s="1030">
        <f>H9+H10+H11</f>
        <v>296703.29670329671</v>
      </c>
      <c r="I20" s="1030">
        <f>I9+I10+I11</f>
        <v>15</v>
      </c>
      <c r="J20" s="1030">
        <f>J9+J10+J11</f>
        <v>265.24730551990979</v>
      </c>
      <c r="K20" s="1030"/>
      <c r="L20" s="1030">
        <f>L9+L10+L11</f>
        <v>265247.30551990977</v>
      </c>
      <c r="M20" s="1030">
        <f>M9+M10+M11</f>
        <v>31.455991183386917</v>
      </c>
      <c r="N20" s="1030"/>
      <c r="O20" s="1030">
        <f>O9+O10+O11</f>
        <v>31455.991183386916</v>
      </c>
    </row>
    <row r="21" spans="2:15" s="970" customFormat="1" ht="15.75">
      <c r="B21" s="1029" t="s">
        <v>1995</v>
      </c>
      <c r="C21" s="1030">
        <f>C12+C13+C14</f>
        <v>0</v>
      </c>
      <c r="D21" s="1030">
        <f>D12+D13+D14</f>
        <v>0</v>
      </c>
      <c r="E21" s="1030">
        <f>E12+E13+E14</f>
        <v>0</v>
      </c>
      <c r="F21" s="1030">
        <f>F12+F13+F14</f>
        <v>0</v>
      </c>
      <c r="G21" s="1030"/>
      <c r="H21" s="1030">
        <f>H12+H13+H14</f>
        <v>0</v>
      </c>
      <c r="I21" s="1030">
        <f>I12+I13+I14</f>
        <v>0</v>
      </c>
      <c r="J21" s="1030">
        <f>J12+J13+J14</f>
        <v>0</v>
      </c>
      <c r="K21" s="1030"/>
      <c r="L21" s="1030">
        <f>L12+L13+L14</f>
        <v>0</v>
      </c>
      <c r="M21" s="1030">
        <f>M12+M13+M14</f>
        <v>0</v>
      </c>
      <c r="N21" s="1030"/>
      <c r="O21" s="1030">
        <f>O12+O13+O14</f>
        <v>0</v>
      </c>
    </row>
    <row r="22" spans="2:15" s="970" customFormat="1" ht="15.75">
      <c r="B22" s="1029" t="s">
        <v>1635</v>
      </c>
      <c r="C22" s="1030">
        <f>C15+C16+C17</f>
        <v>2510.9315172489164</v>
      </c>
      <c r="D22" s="1030">
        <f>D15+D16+D17</f>
        <v>1647.0386363784514</v>
      </c>
      <c r="E22" s="1030">
        <f>E15+E16+E17</f>
        <v>1378539</v>
      </c>
      <c r="F22" s="1030">
        <f>F15+F16+F17</f>
        <v>1523.0769230769231</v>
      </c>
      <c r="G22" s="1030"/>
      <c r="H22" s="1030">
        <f>H15+H16+H17</f>
        <v>1523076.923076923</v>
      </c>
      <c r="I22" s="1030">
        <f>I15+I16+I17</f>
        <v>77</v>
      </c>
      <c r="J22" s="1030">
        <f>J15+J16+J17</f>
        <v>1361.6028350022036</v>
      </c>
      <c r="K22" s="1030"/>
      <c r="L22" s="1030">
        <f>L15+L16+L17</f>
        <v>1361602.8350022035</v>
      </c>
      <c r="M22" s="1030">
        <f>M15+M16+M17</f>
        <v>161.4740880747195</v>
      </c>
      <c r="N22" s="1030"/>
      <c r="O22" s="1030">
        <f>O15+O16+O17</f>
        <v>161474.0880747195</v>
      </c>
    </row>
    <row r="23" spans="2:15" s="40" customFormat="1" ht="15.75">
      <c r="B23" s="1029"/>
      <c r="C23" s="1030">
        <f>SUM(C19:C22)</f>
        <v>4073.8715172489165</v>
      </c>
      <c r="D23" s="1030">
        <f>SUM(D19:D22)</f>
        <v>4143.9537081938506</v>
      </c>
      <c r="E23" s="1030">
        <f>SUM(E19:E22)</f>
        <v>2388305.2999999998</v>
      </c>
      <c r="F23" s="1030">
        <f>SUM(F19:F22)</f>
        <v>3600</v>
      </c>
      <c r="G23" s="1030"/>
      <c r="H23" s="1030">
        <f>SUM(H19:H22)</f>
        <v>3600000</v>
      </c>
      <c r="I23" s="1030">
        <f>SUM(I19:I22)</f>
        <v>182</v>
      </c>
      <c r="J23" s="1030">
        <f>SUM(J19:J22)</f>
        <v>3218.3339736415719</v>
      </c>
      <c r="K23" s="1030"/>
      <c r="L23" s="1030">
        <f>SUM(L19:L22)</f>
        <v>3218333.9736415716</v>
      </c>
      <c r="M23" s="1030">
        <f>SUM(M19:M22)</f>
        <v>381.66602635842787</v>
      </c>
      <c r="N23" s="1030"/>
      <c r="O23" s="1030">
        <f>SUM(O19:O22)</f>
        <v>381666.02635842789</v>
      </c>
    </row>
    <row r="24" spans="2:15" ht="15.75">
      <c r="B24" s="512"/>
      <c r="C24" s="512"/>
      <c r="D24" s="512"/>
      <c r="E24" s="512"/>
      <c r="F24" s="1255"/>
      <c r="G24" s="1255"/>
      <c r="H24" s="1541">
        <f ca="1">'тріска паливна'!H10</f>
        <v>3600000</v>
      </c>
      <c r="I24" s="1255"/>
      <c r="J24" s="1255"/>
      <c r="K24" s="1255"/>
      <c r="L24" s="1542">
        <f ca="1">'тріска паливна'!H11</f>
        <v>3218333.9736415721</v>
      </c>
      <c r="M24" s="1255"/>
      <c r="N24" s="1255"/>
      <c r="O24" s="1542">
        <f ca="1">'тріска паливна'!H12</f>
        <v>381666.02635842789</v>
      </c>
    </row>
    <row r="25" spans="2:15" s="184" customFormat="1" ht="15.75">
      <c r="B25" s="1018" t="s">
        <v>1638</v>
      </c>
      <c r="C25" s="1689" t="s">
        <v>860</v>
      </c>
      <c r="D25" s="1689"/>
      <c r="E25" s="1689"/>
      <c r="F25" s="1690" t="s">
        <v>1547</v>
      </c>
      <c r="G25" s="1690"/>
      <c r="H25" s="1690"/>
      <c r="I25" s="1690"/>
      <c r="J25" s="1690" t="s">
        <v>1639</v>
      </c>
      <c r="K25" s="1690"/>
      <c r="L25" s="1690"/>
      <c r="M25" s="1690" t="s">
        <v>1606</v>
      </c>
      <c r="N25" s="1690"/>
      <c r="O25" s="1690"/>
    </row>
    <row r="26" spans="2:15" s="41" customFormat="1" ht="15.75">
      <c r="B26" s="1021"/>
      <c r="C26" s="1021"/>
      <c r="D26" s="1021"/>
      <c r="E26" s="1021"/>
      <c r="F26" s="1031" t="s">
        <v>1636</v>
      </c>
      <c r="G26" s="1031" t="s">
        <v>1623</v>
      </c>
      <c r="H26" s="1031" t="s">
        <v>1624</v>
      </c>
      <c r="I26" s="1031"/>
      <c r="J26" s="1031" t="s">
        <v>1636</v>
      </c>
      <c r="K26" s="1031" t="s">
        <v>1623</v>
      </c>
      <c r="L26" s="1031" t="s">
        <v>1624</v>
      </c>
      <c r="M26" s="1031"/>
      <c r="N26" s="1031"/>
      <c r="O26" s="1031"/>
    </row>
    <row r="27" spans="2:15" s="188" customFormat="1" ht="15.75">
      <c r="B27" s="1019" t="s">
        <v>881</v>
      </c>
      <c r="C27" s="1019"/>
      <c r="D27" s="1019"/>
      <c r="E27" s="1019"/>
      <c r="F27" s="1007"/>
      <c r="G27" s="1007"/>
      <c r="H27" s="1007"/>
      <c r="I27" s="1007"/>
      <c r="J27" s="1007"/>
      <c r="K27" s="1007"/>
      <c r="L27" s="1007"/>
      <c r="M27" s="1007"/>
      <c r="N27" s="1007"/>
      <c r="O27" s="1007"/>
    </row>
    <row r="28" spans="2:15" s="188" customFormat="1" ht="15.75">
      <c r="B28" s="1019" t="s">
        <v>882</v>
      </c>
      <c r="C28" s="1019"/>
      <c r="D28" s="1019"/>
      <c r="E28" s="1019"/>
      <c r="F28" s="1007"/>
      <c r="G28" s="1007"/>
      <c r="H28" s="1007"/>
      <c r="I28" s="1007"/>
      <c r="J28" s="1007"/>
      <c r="K28" s="1007"/>
      <c r="L28" s="1007"/>
      <c r="M28" s="1007"/>
      <c r="N28" s="1007"/>
      <c r="O28" s="1007"/>
    </row>
    <row r="29" spans="2:15" s="39" customFormat="1" ht="15.75">
      <c r="B29" s="1023" t="s">
        <v>1611</v>
      </c>
      <c r="C29" s="1032"/>
      <c r="D29" s="1033"/>
      <c r="E29" s="1032">
        <v>0</v>
      </c>
      <c r="F29" s="1034">
        <v>36</v>
      </c>
      <c r="G29" s="1040">
        <v>232.7</v>
      </c>
      <c r="H29" s="1040">
        <f>F29*G29</f>
        <v>8377.1999999999989</v>
      </c>
      <c r="I29" s="1034"/>
      <c r="J29" s="1034">
        <f>F29-M29</f>
        <v>32.310822322815575</v>
      </c>
      <c r="K29" s="1040">
        <f>L29/J29</f>
        <v>232.69999999999996</v>
      </c>
      <c r="L29" s="1034">
        <f>H29-O29</f>
        <v>7518.7283545191831</v>
      </c>
      <c r="M29" s="1034">
        <f>O29/N29</f>
        <v>3.6891776771844254</v>
      </c>
      <c r="N29" s="1040">
        <f>G29</f>
        <v>232.7</v>
      </c>
      <c r="O29" s="1034">
        <f>H29/11973.4*1227</f>
        <v>858.47164548081571</v>
      </c>
    </row>
    <row r="30" spans="2:15" s="39" customFormat="1" ht="15.75">
      <c r="B30" s="1023" t="s">
        <v>1612</v>
      </c>
      <c r="C30" s="1032"/>
      <c r="D30" s="1033"/>
      <c r="E30" s="1032">
        <v>0</v>
      </c>
      <c r="F30" s="1034">
        <f>F29</f>
        <v>36</v>
      </c>
      <c r="G30" s="1040">
        <f>G29</f>
        <v>232.7</v>
      </c>
      <c r="H30" s="1040">
        <f t="shared" ref="H30:H40" si="8">F30*G30</f>
        <v>8377.1999999999989</v>
      </c>
      <c r="I30" s="1034"/>
      <c r="J30" s="1034">
        <f t="shared" ref="J30:J40" si="9">F30-M30</f>
        <v>32.310822322815575</v>
      </c>
      <c r="K30" s="1040">
        <f t="shared" ref="K30:K40" si="10">L30/J30</f>
        <v>232.69999999999996</v>
      </c>
      <c r="L30" s="1034">
        <f t="shared" ref="L30:L40" si="11">H30-O30</f>
        <v>7518.7283545191831</v>
      </c>
      <c r="M30" s="1034">
        <f t="shared" ref="M30:M40" si="12">O30/N30</f>
        <v>3.6891776771844254</v>
      </c>
      <c r="N30" s="1040">
        <f>N29</f>
        <v>232.7</v>
      </c>
      <c r="O30" s="1034">
        <f t="shared" ref="O30:O40" si="13">H30/11973.4*1227</f>
        <v>858.47164548081571</v>
      </c>
    </row>
    <row r="31" spans="2:15" s="39" customFormat="1" ht="15.75">
      <c r="B31" s="1023" t="s">
        <v>1613</v>
      </c>
      <c r="C31" s="1032">
        <v>52</v>
      </c>
      <c r="D31" s="1033">
        <v>195.5</v>
      </c>
      <c r="E31" s="1035">
        <v>10166</v>
      </c>
      <c r="F31" s="1034">
        <f>F30</f>
        <v>36</v>
      </c>
      <c r="G31" s="1040">
        <f t="shared" ref="G31:G40" si="14">G30</f>
        <v>232.7</v>
      </c>
      <c r="H31" s="1040">
        <f t="shared" si="8"/>
        <v>8377.1999999999989</v>
      </c>
      <c r="I31" s="1034"/>
      <c r="J31" s="1034">
        <f t="shared" si="9"/>
        <v>32.310822322815575</v>
      </c>
      <c r="K31" s="1040">
        <f t="shared" si="10"/>
        <v>232.69999999999996</v>
      </c>
      <c r="L31" s="1034">
        <f t="shared" si="11"/>
        <v>7518.7283545191831</v>
      </c>
      <c r="M31" s="1034">
        <f t="shared" si="12"/>
        <v>3.6891776771844254</v>
      </c>
      <c r="N31" s="1040">
        <f t="shared" ref="N31:N40" si="15">N30</f>
        <v>232.7</v>
      </c>
      <c r="O31" s="1034">
        <f t="shared" si="13"/>
        <v>858.47164548081571</v>
      </c>
    </row>
    <row r="32" spans="2:15" s="39" customFormat="1" ht="15.75">
      <c r="B32" s="1023" t="s">
        <v>1614</v>
      </c>
      <c r="C32" s="1032">
        <v>48</v>
      </c>
      <c r="D32" s="1033">
        <v>195.5</v>
      </c>
      <c r="E32" s="1035">
        <v>9384</v>
      </c>
      <c r="F32" s="1034">
        <f>F31</f>
        <v>36</v>
      </c>
      <c r="G32" s="1040">
        <f t="shared" si="14"/>
        <v>232.7</v>
      </c>
      <c r="H32" s="1040">
        <f t="shared" si="8"/>
        <v>8377.1999999999989</v>
      </c>
      <c r="I32" s="1034"/>
      <c r="J32" s="1034">
        <f t="shared" si="9"/>
        <v>32.310822322815575</v>
      </c>
      <c r="K32" s="1040">
        <f t="shared" si="10"/>
        <v>232.69999999999996</v>
      </c>
      <c r="L32" s="1034">
        <f t="shared" si="11"/>
        <v>7518.7283545191831</v>
      </c>
      <c r="M32" s="1034">
        <f t="shared" si="12"/>
        <v>3.6891776771844254</v>
      </c>
      <c r="N32" s="1040">
        <f t="shared" si="15"/>
        <v>232.7</v>
      </c>
      <c r="O32" s="1034">
        <f t="shared" si="13"/>
        <v>858.47164548081571</v>
      </c>
    </row>
    <row r="33" spans="2:15" s="39" customFormat="1" ht="15.75">
      <c r="B33" s="1023" t="s">
        <v>1615</v>
      </c>
      <c r="C33" s="1032">
        <v>36</v>
      </c>
      <c r="D33" s="1033">
        <v>195.5</v>
      </c>
      <c r="E33" s="1035">
        <v>7038</v>
      </c>
      <c r="F33" s="1034">
        <f t="shared" ref="F33:F40" si="16">F32</f>
        <v>36</v>
      </c>
      <c r="G33" s="1040">
        <f t="shared" si="14"/>
        <v>232.7</v>
      </c>
      <c r="H33" s="1040">
        <f t="shared" si="8"/>
        <v>8377.1999999999989</v>
      </c>
      <c r="I33" s="1034"/>
      <c r="J33" s="1034">
        <f t="shared" si="9"/>
        <v>32.310822322815575</v>
      </c>
      <c r="K33" s="1040">
        <f t="shared" si="10"/>
        <v>232.69999999999996</v>
      </c>
      <c r="L33" s="1034">
        <f t="shared" si="11"/>
        <v>7518.7283545191831</v>
      </c>
      <c r="M33" s="1034">
        <f t="shared" si="12"/>
        <v>3.6891776771844254</v>
      </c>
      <c r="N33" s="1040">
        <f t="shared" si="15"/>
        <v>232.7</v>
      </c>
      <c r="O33" s="1034">
        <f t="shared" si="13"/>
        <v>858.47164548081571</v>
      </c>
    </row>
    <row r="34" spans="2:15" s="39" customFormat="1" ht="15.75">
      <c r="B34" s="1023" t="s">
        <v>1616</v>
      </c>
      <c r="C34" s="1032">
        <v>35</v>
      </c>
      <c r="D34" s="1033">
        <v>195.5</v>
      </c>
      <c r="E34" s="1035">
        <v>6842.5</v>
      </c>
      <c r="F34" s="1034">
        <f t="shared" si="16"/>
        <v>36</v>
      </c>
      <c r="G34" s="1040">
        <f t="shared" si="14"/>
        <v>232.7</v>
      </c>
      <c r="H34" s="1040">
        <f t="shared" si="8"/>
        <v>8377.1999999999989</v>
      </c>
      <c r="I34" s="1034"/>
      <c r="J34" s="1034">
        <f t="shared" si="9"/>
        <v>32.310822322815575</v>
      </c>
      <c r="K34" s="1040">
        <f t="shared" si="10"/>
        <v>232.69999999999996</v>
      </c>
      <c r="L34" s="1034">
        <f t="shared" si="11"/>
        <v>7518.7283545191831</v>
      </c>
      <c r="M34" s="1034">
        <f t="shared" si="12"/>
        <v>3.6891776771844254</v>
      </c>
      <c r="N34" s="1040">
        <f t="shared" si="15"/>
        <v>232.7</v>
      </c>
      <c r="O34" s="1034">
        <f t="shared" si="13"/>
        <v>858.47164548081571</v>
      </c>
    </row>
    <row r="35" spans="2:15" s="39" customFormat="1" ht="15.75">
      <c r="B35" s="1023" t="s">
        <v>1617</v>
      </c>
      <c r="C35" s="1032">
        <v>37</v>
      </c>
      <c r="D35" s="1033">
        <v>195.5</v>
      </c>
      <c r="E35" s="1035">
        <v>7233.5</v>
      </c>
      <c r="F35" s="1034">
        <f t="shared" si="16"/>
        <v>36</v>
      </c>
      <c r="G35" s="1040">
        <f t="shared" si="14"/>
        <v>232.7</v>
      </c>
      <c r="H35" s="1040">
        <f t="shared" si="8"/>
        <v>8377.1999999999989</v>
      </c>
      <c r="I35" s="1034"/>
      <c r="J35" s="1034">
        <f t="shared" si="9"/>
        <v>32.310822322815575</v>
      </c>
      <c r="K35" s="1040">
        <f t="shared" si="10"/>
        <v>232.69999999999996</v>
      </c>
      <c r="L35" s="1034">
        <f t="shared" si="11"/>
        <v>7518.7283545191831</v>
      </c>
      <c r="M35" s="1034">
        <f t="shared" si="12"/>
        <v>3.6891776771844254</v>
      </c>
      <c r="N35" s="1040">
        <f t="shared" si="15"/>
        <v>232.7</v>
      </c>
      <c r="O35" s="1034">
        <f t="shared" si="13"/>
        <v>858.47164548081571</v>
      </c>
    </row>
    <row r="36" spans="2:15" s="39" customFormat="1" ht="15.75">
      <c r="B36" s="1023" t="s">
        <v>1618</v>
      </c>
      <c r="C36" s="1032">
        <v>28</v>
      </c>
      <c r="D36" s="1033">
        <v>222.07428571428571</v>
      </c>
      <c r="E36" s="1035">
        <v>6218.08</v>
      </c>
      <c r="F36" s="1034">
        <f t="shared" si="16"/>
        <v>36</v>
      </c>
      <c r="G36" s="1040">
        <f t="shared" si="14"/>
        <v>232.7</v>
      </c>
      <c r="H36" s="1040">
        <f t="shared" si="8"/>
        <v>8377.1999999999989</v>
      </c>
      <c r="I36" s="1034"/>
      <c r="J36" s="1034">
        <f t="shared" si="9"/>
        <v>32.310822322815575</v>
      </c>
      <c r="K36" s="1040">
        <f t="shared" si="10"/>
        <v>232.69999999999996</v>
      </c>
      <c r="L36" s="1034">
        <f t="shared" si="11"/>
        <v>7518.7283545191831</v>
      </c>
      <c r="M36" s="1034">
        <f t="shared" si="12"/>
        <v>3.6891776771844254</v>
      </c>
      <c r="N36" s="1040">
        <f t="shared" si="15"/>
        <v>232.7</v>
      </c>
      <c r="O36" s="1034">
        <f t="shared" si="13"/>
        <v>858.47164548081571</v>
      </c>
    </row>
    <row r="37" spans="2:15" s="39" customFormat="1" ht="15.75">
      <c r="B37" s="1023" t="s">
        <v>1619</v>
      </c>
      <c r="C37" s="1032">
        <v>40</v>
      </c>
      <c r="D37" s="1033">
        <v>232.70400000000001</v>
      </c>
      <c r="E37" s="1035">
        <v>9308.16</v>
      </c>
      <c r="F37" s="1034">
        <f t="shared" si="16"/>
        <v>36</v>
      </c>
      <c r="G37" s="1040">
        <f t="shared" si="14"/>
        <v>232.7</v>
      </c>
      <c r="H37" s="1040">
        <f t="shared" si="8"/>
        <v>8377.1999999999989</v>
      </c>
      <c r="I37" s="1034"/>
      <c r="J37" s="1034">
        <f t="shared" si="9"/>
        <v>32.310822322815575</v>
      </c>
      <c r="K37" s="1040">
        <f t="shared" si="10"/>
        <v>232.69999999999996</v>
      </c>
      <c r="L37" s="1034">
        <f t="shared" si="11"/>
        <v>7518.7283545191831</v>
      </c>
      <c r="M37" s="1034">
        <f t="shared" si="12"/>
        <v>3.6891776771844254</v>
      </c>
      <c r="N37" s="1040">
        <f t="shared" si="15"/>
        <v>232.7</v>
      </c>
      <c r="O37" s="1034">
        <f t="shared" si="13"/>
        <v>858.47164548081571</v>
      </c>
    </row>
    <row r="38" spans="2:15" s="39" customFormat="1" ht="15.75">
      <c r="B38" s="1023" t="s">
        <v>1620</v>
      </c>
      <c r="C38" s="1032">
        <v>37</v>
      </c>
      <c r="D38" s="1033">
        <v>232.70405405405404</v>
      </c>
      <c r="E38" s="1035">
        <v>8610.0499999999993</v>
      </c>
      <c r="F38" s="1034">
        <f t="shared" si="16"/>
        <v>36</v>
      </c>
      <c r="G38" s="1040">
        <f t="shared" si="14"/>
        <v>232.7</v>
      </c>
      <c r="H38" s="1040">
        <f t="shared" si="8"/>
        <v>8377.1999999999989</v>
      </c>
      <c r="I38" s="1034"/>
      <c r="J38" s="1034">
        <f t="shared" si="9"/>
        <v>32.310822322815575</v>
      </c>
      <c r="K38" s="1040">
        <f t="shared" si="10"/>
        <v>232.69999999999996</v>
      </c>
      <c r="L38" s="1034">
        <f t="shared" si="11"/>
        <v>7518.7283545191831</v>
      </c>
      <c r="M38" s="1034">
        <f t="shared" si="12"/>
        <v>3.6891776771844254</v>
      </c>
      <c r="N38" s="1040">
        <f t="shared" si="15"/>
        <v>232.7</v>
      </c>
      <c r="O38" s="1034">
        <f t="shared" si="13"/>
        <v>858.47164548081571</v>
      </c>
    </row>
    <row r="39" spans="2:15" s="39" customFormat="1" ht="15.75">
      <c r="B39" s="1023" t="s">
        <v>1621</v>
      </c>
      <c r="C39" s="1032">
        <v>38</v>
      </c>
      <c r="D39" s="1033">
        <v>232.70394736842104</v>
      </c>
      <c r="E39" s="1035">
        <v>8842.75</v>
      </c>
      <c r="F39" s="1034">
        <f t="shared" si="16"/>
        <v>36</v>
      </c>
      <c r="G39" s="1040">
        <f t="shared" si="14"/>
        <v>232.7</v>
      </c>
      <c r="H39" s="1040">
        <f t="shared" si="8"/>
        <v>8377.1999999999989</v>
      </c>
      <c r="I39" s="1034"/>
      <c r="J39" s="1034">
        <f t="shared" si="9"/>
        <v>32.310822322815575</v>
      </c>
      <c r="K39" s="1040">
        <f t="shared" si="10"/>
        <v>232.69999999999996</v>
      </c>
      <c r="L39" s="1034">
        <f t="shared" si="11"/>
        <v>7518.7283545191831</v>
      </c>
      <c r="M39" s="1034">
        <f t="shared" si="12"/>
        <v>3.6891776771844254</v>
      </c>
      <c r="N39" s="1040">
        <f t="shared" si="15"/>
        <v>232.7</v>
      </c>
      <c r="O39" s="1034">
        <f t="shared" si="13"/>
        <v>858.47164548081571</v>
      </c>
    </row>
    <row r="40" spans="2:15" s="39" customFormat="1" ht="15.75">
      <c r="B40" s="1023" t="s">
        <v>1622</v>
      </c>
      <c r="C40" s="1126"/>
      <c r="D40" s="1126"/>
      <c r="E40" s="1126"/>
      <c r="F40" s="1034">
        <f t="shared" si="16"/>
        <v>36</v>
      </c>
      <c r="G40" s="1040">
        <f t="shared" si="14"/>
        <v>232.7</v>
      </c>
      <c r="H40" s="1040">
        <f t="shared" si="8"/>
        <v>8377.1999999999989</v>
      </c>
      <c r="I40" s="1034"/>
      <c r="J40" s="1034">
        <f t="shared" si="9"/>
        <v>32.310822322815575</v>
      </c>
      <c r="K40" s="1040">
        <f t="shared" si="10"/>
        <v>232.69999999999996</v>
      </c>
      <c r="L40" s="1034">
        <f t="shared" si="11"/>
        <v>7518.7283545191831</v>
      </c>
      <c r="M40" s="1034">
        <f t="shared" si="12"/>
        <v>3.6891776771844254</v>
      </c>
      <c r="N40" s="1040">
        <f t="shared" si="15"/>
        <v>232.7</v>
      </c>
      <c r="O40" s="1034">
        <f t="shared" si="13"/>
        <v>858.47164548081571</v>
      </c>
    </row>
    <row r="41" spans="2:15" s="42" customFormat="1" ht="15.75">
      <c r="B41" s="1026"/>
      <c r="C41" s="1026"/>
      <c r="D41" s="1026"/>
      <c r="E41" s="1026"/>
      <c r="F41" s="1036"/>
      <c r="G41" s="1036"/>
      <c r="H41" s="1143"/>
      <c r="I41" s="1036"/>
      <c r="J41" s="1036"/>
      <c r="K41" s="1036"/>
      <c r="L41" s="1036"/>
      <c r="M41" s="1036"/>
      <c r="N41" s="1036"/>
      <c r="O41" s="1036"/>
    </row>
    <row r="42" spans="2:15" ht="15.75">
      <c r="B42" s="512" t="s">
        <v>1993</v>
      </c>
      <c r="C42" s="1034">
        <f>C29+C30+C31</f>
        <v>52</v>
      </c>
      <c r="D42" s="1034">
        <f>D29+D30+D31</f>
        <v>195.5</v>
      </c>
      <c r="E42" s="1034">
        <f>E29+E30+E31</f>
        <v>10166</v>
      </c>
      <c r="F42" s="1034">
        <f>F29+F30+F31</f>
        <v>108</v>
      </c>
      <c r="G42" s="1034"/>
      <c r="H42" s="1040">
        <f>H29+H30+H31</f>
        <v>25131.599999999999</v>
      </c>
      <c r="I42" s="1034"/>
      <c r="J42" s="1034">
        <f>J29+J30+J31</f>
        <v>96.932466968446732</v>
      </c>
      <c r="K42" s="1034"/>
      <c r="L42" s="1034">
        <f>L29+L30+L31</f>
        <v>22556.18506355755</v>
      </c>
      <c r="M42" s="1034">
        <f>M29+M30+M31</f>
        <v>11.067533031553277</v>
      </c>
      <c r="N42" s="1034"/>
      <c r="O42" s="1034">
        <f>O29+O30+O31</f>
        <v>2575.414936442447</v>
      </c>
    </row>
    <row r="43" spans="2:15" ht="15.75">
      <c r="B43" s="512" t="s">
        <v>1994</v>
      </c>
      <c r="C43" s="1034">
        <f>C32+C33+C34</f>
        <v>119</v>
      </c>
      <c r="D43" s="1034">
        <f>D32+D33+D34</f>
        <v>586.5</v>
      </c>
      <c r="E43" s="1034">
        <f>E32+E33+E34</f>
        <v>23264.5</v>
      </c>
      <c r="F43" s="1034">
        <f>F32+F33+F34</f>
        <v>108</v>
      </c>
      <c r="G43" s="1034"/>
      <c r="H43" s="1040">
        <f>H32+H33+H34</f>
        <v>25131.599999999999</v>
      </c>
      <c r="I43" s="1034"/>
      <c r="J43" s="1034">
        <f>J32+J33+J34</f>
        <v>96.932466968446732</v>
      </c>
      <c r="K43" s="1034"/>
      <c r="L43" s="1034">
        <f>L32+L33+L34</f>
        <v>22556.18506355755</v>
      </c>
      <c r="M43" s="1034">
        <f>M32+M33+M34</f>
        <v>11.067533031553277</v>
      </c>
      <c r="N43" s="1034"/>
      <c r="O43" s="1034">
        <f>O32+O33+O34</f>
        <v>2575.414936442447</v>
      </c>
    </row>
    <row r="44" spans="2:15" ht="15.75">
      <c r="B44" s="512" t="s">
        <v>1995</v>
      </c>
      <c r="C44" s="1034">
        <f>C35+C36+C37</f>
        <v>105</v>
      </c>
      <c r="D44" s="1034">
        <f>D35+D36+D37</f>
        <v>650.27828571428563</v>
      </c>
      <c r="E44" s="1034">
        <f>E35+E36+E37</f>
        <v>22759.739999999998</v>
      </c>
      <c r="F44" s="1034">
        <f>F35+F36+F37</f>
        <v>108</v>
      </c>
      <c r="G44" s="1034"/>
      <c r="H44" s="1040">
        <f>H35+H36+H37</f>
        <v>25131.599999999999</v>
      </c>
      <c r="I44" s="1034"/>
      <c r="J44" s="1034">
        <f>J35+J36+J37</f>
        <v>96.932466968446732</v>
      </c>
      <c r="K44" s="1034"/>
      <c r="L44" s="1034">
        <f>L35+L36+L37</f>
        <v>22556.18506355755</v>
      </c>
      <c r="M44" s="1034">
        <f>M35+M36+M37</f>
        <v>11.067533031553277</v>
      </c>
      <c r="N44" s="1034"/>
      <c r="O44" s="1034">
        <f>O35+O36+O37</f>
        <v>2575.414936442447</v>
      </c>
    </row>
    <row r="45" spans="2:15" ht="15.75">
      <c r="B45" s="512" t="s">
        <v>1635</v>
      </c>
      <c r="C45" s="1034">
        <f>C38+C39+C40</f>
        <v>75</v>
      </c>
      <c r="D45" s="1034">
        <f>D38+D39+D40</f>
        <v>465.40800142247508</v>
      </c>
      <c r="E45" s="1034">
        <f>E38+E39+E40</f>
        <v>17452.8</v>
      </c>
      <c r="F45" s="1034">
        <f>F38+F39+F40</f>
        <v>108</v>
      </c>
      <c r="G45" s="1034"/>
      <c r="H45" s="1040">
        <f>H38+H39+H40</f>
        <v>25131.599999999999</v>
      </c>
      <c r="I45" s="1034"/>
      <c r="J45" s="1034">
        <f>J38+J39+J40</f>
        <v>96.932466968446732</v>
      </c>
      <c r="K45" s="1034"/>
      <c r="L45" s="1034">
        <f>L38+L39+L40</f>
        <v>22556.18506355755</v>
      </c>
      <c r="M45" s="1034">
        <f>M38+M39+M40</f>
        <v>11.067533031553277</v>
      </c>
      <c r="N45" s="1034"/>
      <c r="O45" s="1034">
        <f>O38+O39+O40</f>
        <v>2575.414936442447</v>
      </c>
    </row>
    <row r="46" spans="2:15" s="113" customFormat="1" ht="15.75">
      <c r="B46" s="1029"/>
      <c r="C46" s="1036">
        <f>SUM(C42:C45)</f>
        <v>351</v>
      </c>
      <c r="D46" s="1036">
        <f>SUM(D42:D45)</f>
        <v>1897.6862871367607</v>
      </c>
      <c r="E46" s="1036">
        <f>SUM(E42:E45)</f>
        <v>73643.039999999994</v>
      </c>
      <c r="F46" s="1036">
        <f>SUM(F42:F45)</f>
        <v>432</v>
      </c>
      <c r="G46" s="1036"/>
      <c r="H46" s="1143">
        <f>SUM(H42:H45)</f>
        <v>100526.39999999999</v>
      </c>
      <c r="I46" s="1036"/>
      <c r="J46" s="1036">
        <f>SUM(J42:J45)</f>
        <v>387.72986787378693</v>
      </c>
      <c r="K46" s="1036"/>
      <c r="L46" s="1036">
        <f>SUM(L42:L45)</f>
        <v>90224.740254230201</v>
      </c>
      <c r="M46" s="1036">
        <f>SUM(M42:M45)</f>
        <v>44.270132126213106</v>
      </c>
      <c r="N46" s="1036"/>
      <c r="O46" s="1036">
        <f>SUM(O42:O45)</f>
        <v>10301.659745769788</v>
      </c>
    </row>
    <row r="47" spans="2:15" s="189" customFormat="1" ht="15.75">
      <c r="B47" s="1037"/>
      <c r="C47" s="1037"/>
      <c r="D47" s="1037"/>
      <c r="E47" s="1037"/>
      <c r="F47" s="1038"/>
      <c r="G47" s="1038"/>
      <c r="H47" s="1038"/>
      <c r="I47" s="1039"/>
      <c r="J47" s="1038"/>
      <c r="K47" s="1038"/>
      <c r="L47" s="1038"/>
      <c r="M47" s="1039"/>
      <c r="N47" s="1039"/>
      <c r="O47" s="1039"/>
    </row>
    <row r="48" spans="2:15" ht="18.75">
      <c r="B48" s="1688" t="s">
        <v>1642</v>
      </c>
      <c r="C48" s="1664"/>
      <c r="D48" s="1664"/>
      <c r="E48" s="1664"/>
      <c r="F48" s="1664"/>
      <c r="G48" s="1664"/>
      <c r="I48" s="177" t="s">
        <v>1743</v>
      </c>
    </row>
    <row r="49" spans="2:9" ht="18.75">
      <c r="B49" s="177"/>
      <c r="C49" s="177"/>
      <c r="D49" s="177"/>
      <c r="E49" s="177"/>
    </row>
    <row r="50" spans="2:9" ht="18.75">
      <c r="B50" s="1688" t="s">
        <v>1645</v>
      </c>
      <c r="C50" s="1664"/>
      <c r="D50" s="1664"/>
      <c r="E50" s="1664"/>
      <c r="F50" s="1664"/>
      <c r="G50" s="1664"/>
      <c r="I50" s="177" t="s">
        <v>607</v>
      </c>
    </row>
    <row r="51" spans="2:9">
      <c r="E51" s="968"/>
    </row>
    <row r="52" spans="2:9" ht="18.75">
      <c r="B52" s="1688" t="s">
        <v>1490</v>
      </c>
      <c r="C52" s="1664"/>
      <c r="D52" s="1664"/>
      <c r="E52" s="1664"/>
      <c r="F52" s="1664"/>
      <c r="G52" s="1664"/>
      <c r="I52" s="177" t="s">
        <v>907</v>
      </c>
    </row>
  </sheetData>
  <mergeCells count="11">
    <mergeCell ref="M25:O25"/>
    <mergeCell ref="C2:E2"/>
    <mergeCell ref="F2:I2"/>
    <mergeCell ref="J2:L2"/>
    <mergeCell ref="M2:O2"/>
    <mergeCell ref="B48:G48"/>
    <mergeCell ref="B50:G50"/>
    <mergeCell ref="B52:G52"/>
    <mergeCell ref="C25:E25"/>
    <mergeCell ref="F25:I25"/>
    <mergeCell ref="J25:L25"/>
  </mergeCells>
  <phoneticPr fontId="66" type="noConversion"/>
  <pageMargins left="0" right="0" top="0" bottom="0" header="0" footer="0"/>
  <pageSetup paperSize="9" scale="77" orientation="landscape" verticalDpi="200" r:id="rId1"/>
  <rowBreaks count="1" manualBreakCount="1">
    <brk id="24" min="1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view="pageBreakPreview" zoomScale="75" zoomScaleNormal="75" zoomScaleSheetLayoutView="75" workbookViewId="0">
      <selection activeCell="J33" sqref="J33"/>
    </sheetView>
  </sheetViews>
  <sheetFormatPr defaultRowHeight="18.75"/>
  <cols>
    <col min="1" max="1" width="1.42578125" style="178" customWidth="1"/>
    <col min="2" max="2" width="72" style="177" customWidth="1"/>
    <col min="3" max="3" width="17.85546875" style="177" customWidth="1"/>
    <col min="4" max="4" width="24.42578125" style="177" customWidth="1"/>
    <col min="5" max="5" width="25" style="177" customWidth="1"/>
    <col min="6" max="6" width="11" style="177" customWidth="1"/>
    <col min="7" max="7" width="24.42578125" style="177" bestFit="1" customWidth="1"/>
    <col min="8" max="8" width="24.28515625" style="177" customWidth="1"/>
    <col min="9" max="9" width="18.42578125" style="177" customWidth="1"/>
    <col min="10" max="10" width="13.28515625" style="178" bestFit="1" customWidth="1"/>
    <col min="11" max="11" width="11" style="178" bestFit="1" customWidth="1"/>
    <col min="12" max="16384" width="9.140625" style="178"/>
  </cols>
  <sheetData>
    <row r="2" spans="2:12" s="971" customFormat="1" ht="30.75" customHeight="1">
      <c r="B2" s="1691" t="s">
        <v>873</v>
      </c>
      <c r="C2" s="1692"/>
      <c r="D2" s="1692"/>
      <c r="E2" s="1692"/>
      <c r="F2" s="1692"/>
      <c r="G2" s="1692"/>
      <c r="H2" s="1692"/>
      <c r="I2" s="1692"/>
      <c r="K2" s="1016" t="s">
        <v>879</v>
      </c>
    </row>
    <row r="3" spans="2:12" ht="84.75" customHeight="1">
      <c r="B3" s="995" t="s">
        <v>874</v>
      </c>
      <c r="C3" s="972" t="s">
        <v>872</v>
      </c>
      <c r="D3" s="972" t="s">
        <v>864</v>
      </c>
      <c r="E3" s="972" t="s">
        <v>865</v>
      </c>
      <c r="F3" s="972" t="s">
        <v>866</v>
      </c>
      <c r="G3" s="972" t="s">
        <v>867</v>
      </c>
      <c r="H3" s="972" t="s">
        <v>868</v>
      </c>
      <c r="I3" s="972" t="s">
        <v>869</v>
      </c>
      <c r="K3" s="1016" t="s">
        <v>880</v>
      </c>
    </row>
    <row r="4" spans="2:12" ht="9" customHeight="1">
      <c r="B4" s="973"/>
      <c r="C4" s="974"/>
      <c r="D4" s="974"/>
      <c r="E4" s="973"/>
      <c r="F4" s="973"/>
      <c r="G4" s="973"/>
      <c r="H4" s="973"/>
      <c r="I4" s="975"/>
    </row>
    <row r="5" spans="2:12">
      <c r="B5" s="1014" t="s">
        <v>875</v>
      </c>
      <c r="C5" s="976"/>
      <c r="D5" s="977"/>
      <c r="E5" s="977"/>
      <c r="F5" s="977"/>
      <c r="G5" s="977"/>
      <c r="H5" s="978"/>
      <c r="I5" s="979"/>
      <c r="K5" s="178">
        <f>950*0.00086</f>
        <v>0.81699999999999995</v>
      </c>
      <c r="L5" s="1078">
        <f>2196*K5</f>
        <v>1794.1319999999998</v>
      </c>
    </row>
    <row r="6" spans="2:12" ht="22.5" customHeight="1">
      <c r="B6" s="1013" t="s">
        <v>904</v>
      </c>
      <c r="C6" s="976">
        <f>(31+28+31+16+16+30+31)*12</f>
        <v>2196</v>
      </c>
      <c r="D6" s="977">
        <f>C6*D9</f>
        <v>1437.711</v>
      </c>
      <c r="E6" s="977">
        <f>(D6/0.64*7*0.11)+(D6/0.64*7*0.11*8.11%)</f>
        <v>1870.0284512765625</v>
      </c>
      <c r="F6" s="977" t="s">
        <v>1636</v>
      </c>
      <c r="G6" s="483">
        <v>1870</v>
      </c>
      <c r="H6" s="483">
        <f>I6*G6</f>
        <v>1870000</v>
      </c>
      <c r="I6" s="1044">
        <v>1000</v>
      </c>
    </row>
    <row r="7" spans="2:12" ht="22.5" customHeight="1">
      <c r="B7" s="1013" t="s">
        <v>878</v>
      </c>
      <c r="C7" s="976">
        <f>(31+28+31+16+16+30+31)*12</f>
        <v>2196</v>
      </c>
      <c r="D7" s="977">
        <f>C7*D9</f>
        <v>1437.711</v>
      </c>
      <c r="E7" s="977">
        <f>(D7/0.64*7*0.11)</f>
        <v>1729.746046875</v>
      </c>
      <c r="F7" s="977" t="s">
        <v>1636</v>
      </c>
      <c r="G7" s="483">
        <v>1730</v>
      </c>
      <c r="H7" s="483">
        <f>I7*G7</f>
        <v>1730000</v>
      </c>
      <c r="I7" s="182">
        <f>I6</f>
        <v>1000</v>
      </c>
    </row>
    <row r="8" spans="2:12" ht="24" customHeight="1">
      <c r="B8" s="390" t="s">
        <v>1819</v>
      </c>
      <c r="C8" s="980">
        <f>C6+C7</f>
        <v>4392</v>
      </c>
      <c r="D8" s="980">
        <f>D6+D7</f>
        <v>2875.422</v>
      </c>
      <c r="E8" s="980">
        <f>E6+E7</f>
        <v>3599.7744981515625</v>
      </c>
      <c r="F8" s="980" t="str">
        <f>F6</f>
        <v>м3</v>
      </c>
      <c r="G8" s="980">
        <f>G6+G7</f>
        <v>3600</v>
      </c>
      <c r="H8" s="980">
        <f>H6+H7</f>
        <v>3600000</v>
      </c>
      <c r="I8" s="981">
        <f>I6</f>
        <v>1000</v>
      </c>
    </row>
    <row r="9" spans="2:12">
      <c r="B9" s="996"/>
      <c r="C9" s="460"/>
      <c r="D9" s="1080">
        <f>2875.422/4392</f>
        <v>0.65469535519125688</v>
      </c>
      <c r="E9" s="460"/>
      <c r="F9" s="460"/>
      <c r="G9" s="460"/>
      <c r="H9" s="460"/>
      <c r="I9" s="460"/>
    </row>
    <row r="10" spans="2:12">
      <c r="B10" s="178"/>
      <c r="C10" s="178"/>
      <c r="D10" s="178"/>
      <c r="E10" s="178"/>
      <c r="F10" s="178"/>
      <c r="G10" s="997" t="s">
        <v>1542</v>
      </c>
      <c r="H10" s="998">
        <f>H8</f>
        <v>3600000</v>
      </c>
      <c r="I10" s="999">
        <f>H8*20/120</f>
        <v>600000</v>
      </c>
    </row>
    <row r="11" spans="2:12">
      <c r="B11" s="178"/>
      <c r="C11" s="178"/>
      <c r="D11" s="178"/>
      <c r="E11" s="178"/>
      <c r="F11" s="178"/>
      <c r="G11" s="390" t="s">
        <v>876</v>
      </c>
      <c r="H11" s="998">
        <f>J24</f>
        <v>3218333.9736415721</v>
      </c>
      <c r="I11" s="999">
        <f>H11*20/120</f>
        <v>536388.99560692871</v>
      </c>
    </row>
    <row r="12" spans="2:12">
      <c r="B12" s="178"/>
      <c r="C12" s="178"/>
      <c r="D12" s="178"/>
      <c r="E12" s="178"/>
      <c r="F12" s="178"/>
      <c r="G12" s="390" t="s">
        <v>877</v>
      </c>
      <c r="H12" s="998">
        <f>J23</f>
        <v>381666.02635842789</v>
      </c>
      <c r="I12" s="999">
        <f>H12*20/120</f>
        <v>63611.004393071315</v>
      </c>
    </row>
    <row r="13" spans="2:12">
      <c r="B13" s="982"/>
      <c r="C13" s="984"/>
      <c r="D13" s="983"/>
      <c r="E13" s="984"/>
      <c r="F13" s="984"/>
      <c r="G13" s="984"/>
      <c r="H13" s="985"/>
      <c r="I13" s="986"/>
    </row>
    <row r="15" spans="2:12">
      <c r="B15" s="177" t="s">
        <v>1642</v>
      </c>
      <c r="E15" s="177" t="s">
        <v>1743</v>
      </c>
    </row>
    <row r="17" spans="2:11">
      <c r="B17" s="180" t="s">
        <v>1645</v>
      </c>
      <c r="E17" s="177" t="s">
        <v>607</v>
      </c>
      <c r="H17" s="987"/>
    </row>
    <row r="18" spans="2:11">
      <c r="B18" s="180"/>
      <c r="H18" s="987"/>
    </row>
    <row r="19" spans="2:11">
      <c r="B19" s="177" t="s">
        <v>905</v>
      </c>
      <c r="E19" s="177" t="s">
        <v>906</v>
      </c>
    </row>
    <row r="22" spans="2:11" ht="30">
      <c r="B22" s="988">
        <v>2023</v>
      </c>
      <c r="C22" s="975"/>
      <c r="H22" s="989" t="s">
        <v>803</v>
      </c>
      <c r="I22" s="989">
        <v>11973.4</v>
      </c>
      <c r="J22" s="1017">
        <f>H8</f>
        <v>3600000</v>
      </c>
      <c r="K22" s="1012">
        <f>J22*20/120</f>
        <v>600000</v>
      </c>
    </row>
    <row r="23" spans="2:11" ht="30">
      <c r="B23" s="975" t="s">
        <v>1557</v>
      </c>
      <c r="C23" s="990">
        <v>31</v>
      </c>
      <c r="H23" s="989" t="s">
        <v>804</v>
      </c>
      <c r="I23" s="989">
        <v>1269.4000000000001</v>
      </c>
      <c r="J23" s="1017">
        <f>H8/I22*I23</f>
        <v>381666.02635842789</v>
      </c>
      <c r="K23" s="1012">
        <f>J23*20/120</f>
        <v>63611.004393071315</v>
      </c>
    </row>
    <row r="24" spans="2:11">
      <c r="B24" s="975" t="s">
        <v>1847</v>
      </c>
      <c r="C24" s="990">
        <v>28</v>
      </c>
      <c r="D24" s="1015"/>
      <c r="H24" s="1000"/>
      <c r="I24" s="1000"/>
      <c r="J24" s="1017">
        <f>J22-J23</f>
        <v>3218333.9736415721</v>
      </c>
      <c r="K24" s="1012">
        <f>J24*20/120</f>
        <v>536388.99560692871</v>
      </c>
    </row>
    <row r="25" spans="2:11">
      <c r="B25" s="975" t="s">
        <v>1848</v>
      </c>
      <c r="C25" s="990">
        <v>31</v>
      </c>
      <c r="H25" s="178"/>
      <c r="I25" s="178"/>
    </row>
    <row r="26" spans="2:11">
      <c r="B26" s="975" t="s">
        <v>1849</v>
      </c>
      <c r="C26" s="990">
        <v>16</v>
      </c>
      <c r="H26" s="178"/>
      <c r="I26" s="178"/>
    </row>
    <row r="27" spans="2:11">
      <c r="B27" s="975" t="s">
        <v>1855</v>
      </c>
      <c r="C27" s="990">
        <v>16</v>
      </c>
    </row>
    <row r="28" spans="2:11">
      <c r="B28" s="975" t="s">
        <v>1856</v>
      </c>
      <c r="C28" s="990">
        <v>30</v>
      </c>
    </row>
    <row r="29" spans="2:11">
      <c r="B29" s="975" t="s">
        <v>1857</v>
      </c>
      <c r="C29" s="990">
        <v>31</v>
      </c>
    </row>
    <row r="30" spans="2:11" s="971" customFormat="1">
      <c r="B30" s="991" t="s">
        <v>870</v>
      </c>
      <c r="C30" s="992">
        <f>SUM(C23:C29)</f>
        <v>183</v>
      </c>
      <c r="D30" s="986"/>
      <c r="E30" s="177"/>
      <c r="F30" s="986"/>
      <c r="G30" s="986"/>
      <c r="H30" s="986"/>
      <c r="I30" s="986"/>
    </row>
    <row r="31" spans="2:11" s="971" customFormat="1" ht="37.5">
      <c r="B31" s="993" t="s">
        <v>871</v>
      </c>
      <c r="C31" s="994">
        <f>G8/C30</f>
        <v>19.672131147540984</v>
      </c>
      <c r="D31" s="986"/>
      <c r="E31" s="986"/>
      <c r="F31" s="986"/>
      <c r="G31" s="986"/>
      <c r="H31" s="986"/>
      <c r="I31" s="986"/>
    </row>
  </sheetData>
  <mergeCells count="1">
    <mergeCell ref="B2:I2"/>
  </mergeCells>
  <phoneticPr fontId="66" type="noConversion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BT61"/>
  <sheetViews>
    <sheetView view="pageBreakPreview" zoomScale="60" zoomScaleNormal="75" workbookViewId="0">
      <selection activeCell="A45" sqref="A45:IV45"/>
    </sheetView>
  </sheetViews>
  <sheetFormatPr defaultRowHeight="15.75"/>
  <cols>
    <col min="1" max="1" width="5.28515625" style="171" customWidth="1"/>
    <col min="2" max="2" width="44.7109375" style="171" bestFit="1" customWidth="1"/>
    <col min="3" max="14" width="11.5703125" style="171" hidden="1" customWidth="1"/>
    <col min="15" max="18" width="15.5703125" style="193" customWidth="1"/>
    <col min="19" max="19" width="15.5703125" style="193" bestFit="1" customWidth="1"/>
    <col min="20" max="20" width="13" style="171" hidden="1" customWidth="1"/>
    <col min="21" max="21" width="11.28515625" style="171" hidden="1" customWidth="1"/>
    <col min="22" max="22" width="10.140625" style="171" hidden="1" customWidth="1"/>
    <col min="23" max="23" width="11.42578125" style="171" hidden="1" customWidth="1"/>
    <col min="24" max="24" width="10.140625" style="171" hidden="1" customWidth="1"/>
    <col min="25" max="25" width="11.5703125" style="171" hidden="1" customWidth="1"/>
    <col min="26" max="31" width="10.140625" style="171" hidden="1" customWidth="1"/>
    <col min="32" max="32" width="11.7109375" style="171" customWidth="1"/>
    <col min="33" max="35" width="11.5703125" style="171" customWidth="1"/>
    <col min="36" max="36" width="11.7109375" style="1416" bestFit="1" customWidth="1"/>
    <col min="37" max="45" width="11.42578125" style="171" hidden="1" customWidth="1"/>
    <col min="46" max="46" width="13" style="171" hidden="1" customWidth="1"/>
    <col min="47" max="48" width="11.42578125" style="171" hidden="1" customWidth="1"/>
    <col min="49" max="49" width="10" style="171" customWidth="1"/>
    <col min="50" max="50" width="10.7109375" style="171" customWidth="1"/>
    <col min="51" max="51" width="11.5703125" style="171" customWidth="1"/>
    <col min="52" max="52" width="11.28515625" style="171" customWidth="1"/>
    <col min="53" max="53" width="11.42578125" style="1416" customWidth="1"/>
    <col min="54" max="54" width="11.5703125" style="171" hidden="1" customWidth="1"/>
    <col min="55" max="56" width="9.85546875" style="171" hidden="1" customWidth="1"/>
    <col min="57" max="57" width="11.28515625" style="171" hidden="1" customWidth="1"/>
    <col min="58" max="58" width="9.85546875" style="171" hidden="1" customWidth="1"/>
    <col min="59" max="59" width="11.5703125" style="171" hidden="1" customWidth="1"/>
    <col min="60" max="62" width="11.28515625" style="171" hidden="1" customWidth="1"/>
    <col min="63" max="64" width="9.85546875" style="171" hidden="1" customWidth="1"/>
    <col min="65" max="65" width="11.5703125" style="171" hidden="1" customWidth="1"/>
    <col min="66" max="68" width="11.7109375" style="171" customWidth="1"/>
    <col min="69" max="69" width="11.42578125" style="171" customWidth="1"/>
    <col min="70" max="70" width="11.42578125" style="1416" bestFit="1" customWidth="1"/>
    <col min="71" max="71" width="15.140625" bestFit="1" customWidth="1"/>
    <col min="72" max="72" width="15" bestFit="1" customWidth="1"/>
  </cols>
  <sheetData>
    <row r="1" spans="1:71">
      <c r="AJ1" s="1418">
        <f>AJ2-AJ4</f>
        <v>-1.2487463653087616E-2</v>
      </c>
      <c r="BA1" s="1424">
        <f>BA2-BA4</f>
        <v>3.8958024233579636E-3</v>
      </c>
      <c r="BB1" s="1425"/>
      <c r="BC1" s="1425"/>
      <c r="BD1" s="1425"/>
      <c r="BE1" s="1425"/>
      <c r="BF1" s="1425"/>
      <c r="BG1" s="1425"/>
      <c r="BH1" s="1425"/>
      <c r="BI1" s="1425"/>
      <c r="BJ1" s="1425"/>
      <c r="BK1" s="1425"/>
      <c r="BL1" s="1425"/>
      <c r="BM1" s="1425"/>
      <c r="BN1" s="1425"/>
      <c r="BO1" s="1425"/>
      <c r="BP1" s="1425"/>
      <c r="BQ1" s="1425"/>
      <c r="BR1" s="1424">
        <f>BR2-BR4</f>
        <v>0</v>
      </c>
    </row>
    <row r="2" spans="1:71">
      <c r="A2" s="477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91"/>
      <c r="P2" s="191"/>
      <c r="Q2" s="191"/>
      <c r="R2" s="462">
        <f>S4-S2</f>
        <v>0</v>
      </c>
      <c r="S2" s="1419">
        <f ca="1">'!!! ФІНАНСОВИЙ ПЛАН 2023 !!!'!G81</f>
        <v>62350577.152487472</v>
      </c>
      <c r="T2" s="172" t="s">
        <v>619</v>
      </c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410">
        <f ca="1">Доходи!H4</f>
        <v>55332038.829999998</v>
      </c>
      <c r="AK2" s="1116" t="s">
        <v>531</v>
      </c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410">
        <f ca="1">Доходи!H18</f>
        <v>1429200</v>
      </c>
      <c r="BB2" s="172" t="s">
        <v>1604</v>
      </c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410">
        <f ca="1">Доходи!H23</f>
        <v>5589338.3138958029</v>
      </c>
      <c r="BS2" s="1404">
        <f>BA2-BA4</f>
        <v>3.8958024233579636E-3</v>
      </c>
    </row>
    <row r="3" spans="1:71">
      <c r="A3" s="478"/>
      <c r="B3" s="173" t="s">
        <v>1547</v>
      </c>
      <c r="C3" s="153" t="s">
        <v>1557</v>
      </c>
      <c r="D3" s="153" t="s">
        <v>1847</v>
      </c>
      <c r="E3" s="153" t="s">
        <v>1848</v>
      </c>
      <c r="F3" s="153" t="s">
        <v>1849</v>
      </c>
      <c r="G3" s="153" t="s">
        <v>1850</v>
      </c>
      <c r="H3" s="153" t="s">
        <v>1851</v>
      </c>
      <c r="I3" s="153" t="s">
        <v>1558</v>
      </c>
      <c r="J3" s="153" t="s">
        <v>1853</v>
      </c>
      <c r="K3" s="153" t="s">
        <v>1854</v>
      </c>
      <c r="L3" s="153" t="s">
        <v>1855</v>
      </c>
      <c r="M3" s="153" t="s">
        <v>1856</v>
      </c>
      <c r="N3" s="153" t="s">
        <v>1857</v>
      </c>
      <c r="O3" s="463" t="s">
        <v>1993</v>
      </c>
      <c r="P3" s="463" t="s">
        <v>1994</v>
      </c>
      <c r="Q3" s="463" t="s">
        <v>1995</v>
      </c>
      <c r="R3" s="463" t="s">
        <v>1996</v>
      </c>
      <c r="S3" s="192">
        <v>2023</v>
      </c>
      <c r="T3" s="153" t="s">
        <v>1557</v>
      </c>
      <c r="U3" s="153" t="s">
        <v>1847</v>
      </c>
      <c r="V3" s="153" t="s">
        <v>1848</v>
      </c>
      <c r="W3" s="153" t="s">
        <v>1849</v>
      </c>
      <c r="X3" s="153" t="s">
        <v>1850</v>
      </c>
      <c r="Y3" s="153" t="s">
        <v>1851</v>
      </c>
      <c r="Z3" s="153" t="s">
        <v>1558</v>
      </c>
      <c r="AA3" s="153" t="s">
        <v>1853</v>
      </c>
      <c r="AB3" s="153" t="s">
        <v>1854</v>
      </c>
      <c r="AC3" s="153" t="s">
        <v>1855</v>
      </c>
      <c r="AD3" s="153" t="s">
        <v>1856</v>
      </c>
      <c r="AE3" s="153" t="s">
        <v>1857</v>
      </c>
      <c r="AF3" s="174" t="s">
        <v>1993</v>
      </c>
      <c r="AG3" s="174" t="s">
        <v>1994</v>
      </c>
      <c r="AH3" s="174" t="s">
        <v>1995</v>
      </c>
      <c r="AI3" s="174" t="s">
        <v>1996</v>
      </c>
      <c r="AJ3" s="1411" t="s">
        <v>619</v>
      </c>
      <c r="AK3" s="1222" t="s">
        <v>1557</v>
      </c>
      <c r="AL3" s="1222" t="s">
        <v>1847</v>
      </c>
      <c r="AM3" s="1222" t="s">
        <v>1848</v>
      </c>
      <c r="AN3" s="461" t="s">
        <v>1849</v>
      </c>
      <c r="AO3" s="461" t="s">
        <v>1850</v>
      </c>
      <c r="AP3" s="461" t="s">
        <v>1851</v>
      </c>
      <c r="AQ3" s="1223" t="s">
        <v>1558</v>
      </c>
      <c r="AR3" s="1223" t="s">
        <v>1853</v>
      </c>
      <c r="AS3" s="1223" t="s">
        <v>1854</v>
      </c>
      <c r="AT3" s="1224" t="s">
        <v>1855</v>
      </c>
      <c r="AU3" s="1224" t="s">
        <v>1856</v>
      </c>
      <c r="AV3" s="1224" t="s">
        <v>1857</v>
      </c>
      <c r="AW3" s="174" t="s">
        <v>1993</v>
      </c>
      <c r="AX3" s="174" t="s">
        <v>1994</v>
      </c>
      <c r="AY3" s="174" t="s">
        <v>1995</v>
      </c>
      <c r="AZ3" s="174" t="s">
        <v>1996</v>
      </c>
      <c r="BA3" s="1417" t="s">
        <v>1603</v>
      </c>
      <c r="BB3" s="153" t="s">
        <v>1557</v>
      </c>
      <c r="BC3" s="153" t="s">
        <v>1847</v>
      </c>
      <c r="BD3" s="153" t="s">
        <v>1848</v>
      </c>
      <c r="BE3" s="153" t="s">
        <v>1849</v>
      </c>
      <c r="BF3" s="153" t="s">
        <v>1850</v>
      </c>
      <c r="BG3" s="153" t="s">
        <v>1851</v>
      </c>
      <c r="BH3" s="153" t="s">
        <v>1558</v>
      </c>
      <c r="BI3" s="153" t="s">
        <v>1853</v>
      </c>
      <c r="BJ3" s="153" t="s">
        <v>1854</v>
      </c>
      <c r="BK3" s="153" t="s">
        <v>1855</v>
      </c>
      <c r="BL3" s="153" t="s">
        <v>1856</v>
      </c>
      <c r="BM3" s="153" t="s">
        <v>1857</v>
      </c>
      <c r="BN3" s="174" t="s">
        <v>1993</v>
      </c>
      <c r="BO3" s="174" t="s">
        <v>1994</v>
      </c>
      <c r="BP3" s="174" t="s">
        <v>1995</v>
      </c>
      <c r="BQ3" s="174" t="s">
        <v>1996</v>
      </c>
      <c r="BR3" s="1411" t="s">
        <v>1604</v>
      </c>
    </row>
    <row r="4" spans="1:71">
      <c r="A4" s="479"/>
      <c r="B4" s="154" t="s">
        <v>1601</v>
      </c>
      <c r="C4" s="155">
        <f t="shared" ref="C4:N4" si="0">C5+C55</f>
        <v>5680843.0369883934</v>
      </c>
      <c r="D4" s="155">
        <f t="shared" si="0"/>
        <v>5304660.5891120192</v>
      </c>
      <c r="E4" s="155">
        <f t="shared" si="0"/>
        <v>5644147.3817923013</v>
      </c>
      <c r="F4" s="155">
        <f t="shared" si="0"/>
        <v>6022059.1912446115</v>
      </c>
      <c r="G4" s="155">
        <f t="shared" si="0"/>
        <v>4617141.7243320905</v>
      </c>
      <c r="H4" s="155">
        <f t="shared" si="0"/>
        <v>4599614.9911658149</v>
      </c>
      <c r="I4" s="155">
        <f t="shared" si="0"/>
        <v>4958627.0020593442</v>
      </c>
      <c r="J4" s="155">
        <f t="shared" si="0"/>
        <v>5056377.4625283657</v>
      </c>
      <c r="K4" s="155">
        <f t="shared" si="0"/>
        <v>4672974.6651067743</v>
      </c>
      <c r="L4" s="155">
        <f t="shared" si="0"/>
        <v>5165126.8920428604</v>
      </c>
      <c r="M4" s="155">
        <f t="shared" si="0"/>
        <v>5307438.5355474595</v>
      </c>
      <c r="N4" s="155">
        <f t="shared" si="0"/>
        <v>5321565.6805674331</v>
      </c>
      <c r="O4" s="1546">
        <f t="shared" ref="O4:AE4" si="1">O5+O55</f>
        <v>16629651.007892715</v>
      </c>
      <c r="P4" s="1546">
        <f t="shared" si="1"/>
        <v>15238815.906742517</v>
      </c>
      <c r="Q4" s="1546">
        <f t="shared" si="1"/>
        <v>14687979.129694486</v>
      </c>
      <c r="R4" s="1546">
        <f t="shared" si="1"/>
        <v>15794131.10815775</v>
      </c>
      <c r="S4" s="1546">
        <f>S5+S55</f>
        <v>62350577.152487457</v>
      </c>
      <c r="T4" s="1412">
        <f t="shared" si="1"/>
        <v>4725352.1238015797</v>
      </c>
      <c r="U4" s="1412">
        <f t="shared" si="1"/>
        <v>4439931.4352658652</v>
      </c>
      <c r="V4" s="1412">
        <f t="shared" si="1"/>
        <v>4735722.368605488</v>
      </c>
      <c r="W4" s="1412">
        <f t="shared" si="1"/>
        <v>5428067.6945413146</v>
      </c>
      <c r="X4" s="1412">
        <f t="shared" si="1"/>
        <v>4347792.0243320903</v>
      </c>
      <c r="Y4" s="1412">
        <f t="shared" si="1"/>
        <v>4396523.7911658147</v>
      </c>
      <c r="Z4" s="1412">
        <f t="shared" si="1"/>
        <v>4747755.802059344</v>
      </c>
      <c r="AA4" s="1412">
        <f t="shared" si="1"/>
        <v>4855916.2625283655</v>
      </c>
      <c r="AB4" s="1412">
        <f t="shared" si="1"/>
        <v>4382246.4651067741</v>
      </c>
      <c r="AC4" s="1412">
        <f t="shared" si="1"/>
        <v>4551314.0755593441</v>
      </c>
      <c r="AD4" s="1412">
        <f t="shared" si="1"/>
        <v>4359365.2421408659</v>
      </c>
      <c r="AE4" s="1412">
        <f t="shared" si="1"/>
        <v>4362051.5573806195</v>
      </c>
      <c r="AF4" s="1412">
        <f t="shared" ref="AF4:AV4" si="2">AF5+AF55</f>
        <v>13901005.927672934</v>
      </c>
      <c r="AG4" s="1412">
        <f t="shared" si="2"/>
        <v>14172383.51003922</v>
      </c>
      <c r="AH4" s="1412">
        <f t="shared" si="2"/>
        <v>13985918.529694485</v>
      </c>
      <c r="AI4" s="1412">
        <f t="shared" si="2"/>
        <v>13272730.875080828</v>
      </c>
      <c r="AJ4" s="1412">
        <f t="shared" si="2"/>
        <v>55332038.842487462</v>
      </c>
      <c r="AK4" s="1412">
        <f t="shared" si="2"/>
        <v>158386.74809114711</v>
      </c>
      <c r="AL4" s="1412">
        <f t="shared" si="2"/>
        <v>140405.01785446971</v>
      </c>
      <c r="AM4" s="1412">
        <f t="shared" si="2"/>
        <v>157182.84009114711</v>
      </c>
      <c r="AN4" s="1412">
        <f t="shared" si="2"/>
        <v>125943.78282886773</v>
      </c>
      <c r="AO4" s="1412">
        <f t="shared" si="2"/>
        <v>99257.571645480813</v>
      </c>
      <c r="AP4" s="1412">
        <f t="shared" si="2"/>
        <v>65443.351645480812</v>
      </c>
      <c r="AQ4" s="1412">
        <f t="shared" si="2"/>
        <v>73223.351645480812</v>
      </c>
      <c r="AR4" s="1412">
        <f t="shared" si="2"/>
        <v>62725.351645480812</v>
      </c>
      <c r="AS4" s="1412">
        <f t="shared" si="2"/>
        <v>88103.791645480815</v>
      </c>
      <c r="AT4" s="1412">
        <f t="shared" si="2"/>
        <v>108351.38090776021</v>
      </c>
      <c r="AU4" s="1412">
        <f t="shared" si="2"/>
        <v>181541.99401225464</v>
      </c>
      <c r="AV4" s="1412">
        <f t="shared" si="2"/>
        <v>168634.81409114713</v>
      </c>
      <c r="AW4" s="1412">
        <f t="shared" ref="AW4:BM4" si="3">AW5+AW55</f>
        <v>455974.60603676393</v>
      </c>
      <c r="AX4" s="1412">
        <f t="shared" si="3"/>
        <v>290644.70611982932</v>
      </c>
      <c r="AY4" s="1412">
        <f t="shared" si="3"/>
        <v>224052.49493644244</v>
      </c>
      <c r="AZ4" s="1412">
        <f t="shared" si="3"/>
        <v>458528.18901116191</v>
      </c>
      <c r="BA4" s="1412">
        <f t="shared" si="3"/>
        <v>1429199.9961041976</v>
      </c>
      <c r="BB4" s="1412">
        <f t="shared" si="3"/>
        <v>797104.16509566607</v>
      </c>
      <c r="BC4" s="1412">
        <f t="shared" si="3"/>
        <v>724324.13599168416</v>
      </c>
      <c r="BD4" s="1412">
        <f t="shared" si="3"/>
        <v>751242.1730956661</v>
      </c>
      <c r="BE4" s="1412">
        <f t="shared" si="3"/>
        <v>468047.71387442894</v>
      </c>
      <c r="BF4" s="1412">
        <f t="shared" si="3"/>
        <v>170092.1283545192</v>
      </c>
      <c r="BG4" s="1412">
        <f t="shared" si="3"/>
        <v>137647.8483545192</v>
      </c>
      <c r="BH4" s="1412">
        <f t="shared" si="3"/>
        <v>137647.8483545192</v>
      </c>
      <c r="BI4" s="1412">
        <f t="shared" si="3"/>
        <v>137735.8483545192</v>
      </c>
      <c r="BJ4" s="1412">
        <f t="shared" si="3"/>
        <v>202624.40835451917</v>
      </c>
      <c r="BK4" s="1412">
        <f t="shared" si="3"/>
        <v>505461.4355757563</v>
      </c>
      <c r="BL4" s="1412">
        <f t="shared" si="3"/>
        <v>766531.29939433886</v>
      </c>
      <c r="BM4" s="1412">
        <f t="shared" si="3"/>
        <v>790879.30909566605</v>
      </c>
      <c r="BN4" s="1412">
        <f>BN5+BN55</f>
        <v>2272670.4741830165</v>
      </c>
      <c r="BO4" s="1412">
        <f>BO5+BO55</f>
        <v>775787.69058346737</v>
      </c>
      <c r="BP4" s="1412">
        <f>BP5+BP55</f>
        <v>478008.10506355757</v>
      </c>
      <c r="BQ4" s="1412">
        <f>BQ5+BQ55</f>
        <v>2062872.0440657611</v>
      </c>
      <c r="BR4" s="1412">
        <f>BR5+BR55</f>
        <v>5589338.3138958029</v>
      </c>
    </row>
    <row r="5" spans="1:71">
      <c r="A5" s="480"/>
      <c r="B5" s="154" t="s">
        <v>1602</v>
      </c>
      <c r="C5" s="156">
        <f t="shared" ref="C5:N5" si="4">SUM(C6,C7,C9,C33,C8)</f>
        <v>5450843.0369883934</v>
      </c>
      <c r="D5" s="156">
        <f t="shared" si="4"/>
        <v>5254660.5891120192</v>
      </c>
      <c r="E5" s="156">
        <f t="shared" si="4"/>
        <v>5387147.3817923013</v>
      </c>
      <c r="F5" s="156">
        <f t="shared" si="4"/>
        <v>5012059.1912446115</v>
      </c>
      <c r="G5" s="156">
        <f t="shared" si="4"/>
        <v>4597141.7243320905</v>
      </c>
      <c r="H5" s="156">
        <f t="shared" si="4"/>
        <v>4549614.9911658149</v>
      </c>
      <c r="I5" s="156">
        <f t="shared" si="4"/>
        <v>4698627.0020593442</v>
      </c>
      <c r="J5" s="156">
        <f t="shared" si="4"/>
        <v>4491377.4625283657</v>
      </c>
      <c r="K5" s="156">
        <f t="shared" si="4"/>
        <v>4657974.6651067743</v>
      </c>
      <c r="L5" s="156">
        <f t="shared" si="4"/>
        <v>5155126.8920428604</v>
      </c>
      <c r="M5" s="156">
        <f t="shared" si="4"/>
        <v>5287438.5355474595</v>
      </c>
      <c r="N5" s="156">
        <f t="shared" si="4"/>
        <v>5311565.6805674331</v>
      </c>
      <c r="O5" s="1547">
        <f>SUM(O6,O7,O9,O33,O8)</f>
        <v>16092651.007892715</v>
      </c>
      <c r="P5" s="1547">
        <f t="shared" ref="P5:AE5" si="5">SUM(P6,P7,P9,P33,P8)</f>
        <v>14158815.906742517</v>
      </c>
      <c r="Q5" s="1547">
        <f t="shared" si="5"/>
        <v>13847979.129694486</v>
      </c>
      <c r="R5" s="1547">
        <f t="shared" si="5"/>
        <v>15754131.10815775</v>
      </c>
      <c r="S5" s="1547">
        <f t="shared" si="5"/>
        <v>59853577.152487457</v>
      </c>
      <c r="T5" s="1413">
        <f t="shared" si="5"/>
        <v>4495352.1238015797</v>
      </c>
      <c r="U5" s="1413">
        <f t="shared" si="5"/>
        <v>4389931.4352658652</v>
      </c>
      <c r="V5" s="1413">
        <f t="shared" si="5"/>
        <v>4478722.368605488</v>
      </c>
      <c r="W5" s="1413">
        <f t="shared" si="5"/>
        <v>4418067.6945413146</v>
      </c>
      <c r="X5" s="1413">
        <f t="shared" si="5"/>
        <v>4327792.0243320903</v>
      </c>
      <c r="Y5" s="1413">
        <f t="shared" si="5"/>
        <v>4346523.7911658147</v>
      </c>
      <c r="Z5" s="1413">
        <f t="shared" si="5"/>
        <v>4487755.802059344</v>
      </c>
      <c r="AA5" s="1413">
        <f t="shared" si="5"/>
        <v>4290916.2625283655</v>
      </c>
      <c r="AB5" s="1413">
        <f t="shared" si="5"/>
        <v>4367246.4651067741</v>
      </c>
      <c r="AC5" s="1413">
        <f t="shared" si="5"/>
        <v>4541314.0755593441</v>
      </c>
      <c r="AD5" s="1413">
        <f t="shared" si="5"/>
        <v>4339365.2421408659</v>
      </c>
      <c r="AE5" s="1413">
        <f t="shared" si="5"/>
        <v>4352051.5573806195</v>
      </c>
      <c r="AF5" s="1413">
        <f t="shared" ref="AF5:AV5" si="6">SUM(AF6,AF7,AF9,AF33,AF8)</f>
        <v>13364005.927672934</v>
      </c>
      <c r="AG5" s="1413">
        <f t="shared" si="6"/>
        <v>13092383.51003922</v>
      </c>
      <c r="AH5" s="1413">
        <f t="shared" si="6"/>
        <v>13145918.529694485</v>
      </c>
      <c r="AI5" s="1413">
        <f t="shared" si="6"/>
        <v>13232730.875080828</v>
      </c>
      <c r="AJ5" s="1413">
        <f t="shared" si="6"/>
        <v>52835038.842487462</v>
      </c>
      <c r="AK5" s="1413">
        <f t="shared" si="6"/>
        <v>158386.74809114711</v>
      </c>
      <c r="AL5" s="1413">
        <f t="shared" si="6"/>
        <v>140405.01785446971</v>
      </c>
      <c r="AM5" s="1413">
        <f t="shared" si="6"/>
        <v>157182.84009114711</v>
      </c>
      <c r="AN5" s="1413">
        <f t="shared" si="6"/>
        <v>125943.78282886773</v>
      </c>
      <c r="AO5" s="1413">
        <f t="shared" si="6"/>
        <v>99257.571645480813</v>
      </c>
      <c r="AP5" s="1413">
        <f t="shared" si="6"/>
        <v>65443.351645480812</v>
      </c>
      <c r="AQ5" s="1413">
        <f t="shared" si="6"/>
        <v>73223.351645480812</v>
      </c>
      <c r="AR5" s="1413">
        <f t="shared" si="6"/>
        <v>62725.351645480812</v>
      </c>
      <c r="AS5" s="1413">
        <f t="shared" si="6"/>
        <v>88103.791645480815</v>
      </c>
      <c r="AT5" s="1413">
        <f t="shared" si="6"/>
        <v>108351.38090776021</v>
      </c>
      <c r="AU5" s="1413">
        <f t="shared" si="6"/>
        <v>181541.99401225464</v>
      </c>
      <c r="AV5" s="1413">
        <f t="shared" si="6"/>
        <v>168634.81409114713</v>
      </c>
      <c r="AW5" s="1413">
        <f t="shared" ref="AW5:BM5" si="7">SUM(AW6,AW7,AW9,AW33,AW8)</f>
        <v>455974.60603676393</v>
      </c>
      <c r="AX5" s="1413">
        <f t="shared" si="7"/>
        <v>290644.70611982932</v>
      </c>
      <c r="AY5" s="1413">
        <f t="shared" si="7"/>
        <v>224052.49493644244</v>
      </c>
      <c r="AZ5" s="1413">
        <f t="shared" si="7"/>
        <v>458528.18901116191</v>
      </c>
      <c r="BA5" s="1413">
        <f t="shared" si="7"/>
        <v>1429199.9961041976</v>
      </c>
      <c r="BB5" s="1413">
        <f t="shared" si="7"/>
        <v>797104.16509566607</v>
      </c>
      <c r="BC5" s="1413">
        <f t="shared" si="7"/>
        <v>724324.13599168416</v>
      </c>
      <c r="BD5" s="1413">
        <f t="shared" si="7"/>
        <v>751242.1730956661</v>
      </c>
      <c r="BE5" s="1413">
        <f t="shared" si="7"/>
        <v>468047.71387442894</v>
      </c>
      <c r="BF5" s="1413">
        <f t="shared" si="7"/>
        <v>170092.1283545192</v>
      </c>
      <c r="BG5" s="1413">
        <f t="shared" si="7"/>
        <v>137647.8483545192</v>
      </c>
      <c r="BH5" s="1413">
        <f t="shared" si="7"/>
        <v>137647.8483545192</v>
      </c>
      <c r="BI5" s="1413">
        <f t="shared" si="7"/>
        <v>137735.8483545192</v>
      </c>
      <c r="BJ5" s="1413">
        <f t="shared" si="7"/>
        <v>202624.40835451917</v>
      </c>
      <c r="BK5" s="1413">
        <f t="shared" si="7"/>
        <v>505461.4355757563</v>
      </c>
      <c r="BL5" s="1413">
        <f t="shared" si="7"/>
        <v>766531.29939433886</v>
      </c>
      <c r="BM5" s="1413">
        <f t="shared" si="7"/>
        <v>790879.30909566605</v>
      </c>
      <c r="BN5" s="1413">
        <f>SUM(BN6,BN7,BN9,BN33,BN8)</f>
        <v>2272670.4741830165</v>
      </c>
      <c r="BO5" s="1413">
        <f>SUM(BO6,BO7,BO9,BO33,BO8)</f>
        <v>775787.69058346737</v>
      </c>
      <c r="BP5" s="1413">
        <f>SUM(BP6,BP7,BP9,BP33,BP8)</f>
        <v>478008.10506355757</v>
      </c>
      <c r="BQ5" s="1413">
        <f>SUM(BQ6,BQ7,BQ9,BQ33,BQ8)</f>
        <v>2062872.0440657611</v>
      </c>
      <c r="BR5" s="1413">
        <f>SUM(BR6,BR7,BR9,BR33,BR8)</f>
        <v>5589338.3138958029</v>
      </c>
    </row>
    <row r="6" spans="1:71">
      <c r="A6" s="481"/>
      <c r="B6" s="157" t="s">
        <v>1943</v>
      </c>
      <c r="C6" s="158">
        <f>T6+AK6+BB6</f>
        <v>3136191.6422029464</v>
      </c>
      <c r="D6" s="158">
        <f t="shared" ref="D6:N6" si="8">U6+AL6+BC6</f>
        <v>3121640.1207743753</v>
      </c>
      <c r="E6" s="158">
        <f t="shared" si="8"/>
        <v>3131619.1358687147</v>
      </c>
      <c r="F6" s="158">
        <f t="shared" si="8"/>
        <v>3062444.2600957323</v>
      </c>
      <c r="G6" s="158">
        <f t="shared" si="8"/>
        <v>3067013.206425589</v>
      </c>
      <c r="H6" s="158">
        <f t="shared" si="8"/>
        <v>3065277.3108154847</v>
      </c>
      <c r="I6" s="158">
        <f t="shared" si="8"/>
        <v>3056537.4432381433</v>
      </c>
      <c r="J6" s="158">
        <f t="shared" si="8"/>
        <v>3059701.8716077083</v>
      </c>
      <c r="K6" s="158">
        <f t="shared" si="8"/>
        <v>3051841.3222895265</v>
      </c>
      <c r="L6" s="158">
        <f t="shared" si="8"/>
        <v>3128316.3432381433</v>
      </c>
      <c r="M6" s="158">
        <f t="shared" si="8"/>
        <v>3124870.5791077083</v>
      </c>
      <c r="N6" s="158">
        <f t="shared" si="8"/>
        <v>3128463.4311568886</v>
      </c>
      <c r="O6" s="1548">
        <f>SUM(C6:E6)</f>
        <v>9389450.8988460358</v>
      </c>
      <c r="P6" s="1548">
        <f>SUM(F6:H6)</f>
        <v>9194734.7773368061</v>
      </c>
      <c r="Q6" s="1548">
        <f>SUM(I6:K6)</f>
        <v>9168080.637135379</v>
      </c>
      <c r="R6" s="1548">
        <f>SUM(L6:N6)</f>
        <v>9381650.3535027392</v>
      </c>
      <c r="S6" s="1548">
        <f>O6+P6+Q6+R6</f>
        <v>37133916.666820958</v>
      </c>
      <c r="T6" s="1549">
        <f ca="1">ФОП!C33</f>
        <v>3136191.6422029464</v>
      </c>
      <c r="U6" s="1549">
        <f ca="1">ФОП!D33</f>
        <v>3121640.1207743753</v>
      </c>
      <c r="V6" s="1549">
        <f ca="1">ФОП!E33</f>
        <v>3131619.1358687147</v>
      </c>
      <c r="W6" s="1549">
        <f ca="1">ФОП!F33</f>
        <v>3062444.2600957323</v>
      </c>
      <c r="X6" s="1549">
        <f ca="1">ФОП!G33</f>
        <v>3067013.206425589</v>
      </c>
      <c r="Y6" s="1549">
        <f ca="1">ФОП!H33</f>
        <v>3065277.3108154847</v>
      </c>
      <c r="Z6" s="1549">
        <f ca="1">ФОП!I33</f>
        <v>3056537.4432381433</v>
      </c>
      <c r="AA6" s="1549">
        <f ca="1">ФОП!J33</f>
        <v>3059701.8716077083</v>
      </c>
      <c r="AB6" s="1549">
        <f ca="1">ФОП!K33</f>
        <v>3051841.3222895265</v>
      </c>
      <c r="AC6" s="1549">
        <f ca="1">ФОП!L33</f>
        <v>3128316.3432381433</v>
      </c>
      <c r="AD6" s="1549">
        <f ca="1">ФОП!M33</f>
        <v>3124870.5791077083</v>
      </c>
      <c r="AE6" s="1549">
        <f ca="1">ФОП!N33</f>
        <v>3128463.4311568886</v>
      </c>
      <c r="AF6" s="1414">
        <f>SUM(T6:V6)</f>
        <v>9389450.8988460358</v>
      </c>
      <c r="AG6" s="1414">
        <f>SUM(W6:Y6)</f>
        <v>9194734.7773368061</v>
      </c>
      <c r="AH6" s="1414">
        <f>SUM(Z6:AB6)</f>
        <v>9168080.637135379</v>
      </c>
      <c r="AI6" s="1414">
        <f>SUM(AC6:AE6)</f>
        <v>9381650.3535027392</v>
      </c>
      <c r="AJ6" s="1414">
        <f>AF6+AG6+AH6+AI6</f>
        <v>37133916.666820958</v>
      </c>
      <c r="AK6" s="1549"/>
      <c r="AL6" s="1549"/>
      <c r="AM6" s="1549"/>
      <c r="AN6" s="1549"/>
      <c r="AO6" s="1549"/>
      <c r="AP6" s="1549"/>
      <c r="AQ6" s="1549"/>
      <c r="AR6" s="1549"/>
      <c r="AS6" s="1549"/>
      <c r="AT6" s="1549"/>
      <c r="AU6" s="1549"/>
      <c r="AV6" s="1549"/>
      <c r="AW6" s="1414">
        <f>SUM(AK6:AM6)</f>
        <v>0</v>
      </c>
      <c r="AX6" s="1414">
        <f>SUM(AN6:AP6)</f>
        <v>0</v>
      </c>
      <c r="AY6" s="1414">
        <f>SUM(AQ6:AS6)</f>
        <v>0</v>
      </c>
      <c r="AZ6" s="1414">
        <f>SUM(AT6:AV6)</f>
        <v>0</v>
      </c>
      <c r="BA6" s="1414">
        <f>AW6+AX6+AY6+AZ6</f>
        <v>0</v>
      </c>
      <c r="BB6" s="1549"/>
      <c r="BC6" s="1549"/>
      <c r="BD6" s="1549"/>
      <c r="BE6" s="1549"/>
      <c r="BF6" s="1549"/>
      <c r="BG6" s="1549"/>
      <c r="BH6" s="1549"/>
      <c r="BI6" s="1549"/>
      <c r="BJ6" s="1549"/>
      <c r="BK6" s="1549"/>
      <c r="BL6" s="1549"/>
      <c r="BM6" s="1549"/>
      <c r="BN6" s="1414">
        <f>SUM(BB6:BD6)</f>
        <v>0</v>
      </c>
      <c r="BO6" s="1414">
        <f>SUM(BE6:BG6)</f>
        <v>0</v>
      </c>
      <c r="BP6" s="1414">
        <f>SUM(BH6:BJ6)</f>
        <v>0</v>
      </c>
      <c r="BQ6" s="1414">
        <f>SUM(BK6:BM6)</f>
        <v>0</v>
      </c>
      <c r="BR6" s="1414">
        <f>BN6+BO6+BP6+BQ6</f>
        <v>0</v>
      </c>
    </row>
    <row r="7" spans="1:71">
      <c r="A7" s="481"/>
      <c r="B7" s="157" t="s">
        <v>1944</v>
      </c>
      <c r="C7" s="158">
        <f>T7+AK7+BB7</f>
        <v>674281.20307363349</v>
      </c>
      <c r="D7" s="158">
        <f t="shared" ref="D7:N8" si="9">U7+AL7+BC7</f>
        <v>671152.62596649071</v>
      </c>
      <c r="E7" s="158">
        <f t="shared" si="9"/>
        <v>673298.11421177362</v>
      </c>
      <c r="F7" s="158">
        <f t="shared" si="9"/>
        <v>658425.51592058246</v>
      </c>
      <c r="G7" s="158">
        <f t="shared" si="9"/>
        <v>659407.83938150166</v>
      </c>
      <c r="H7" s="158">
        <f t="shared" si="9"/>
        <v>659034.62182532926</v>
      </c>
      <c r="I7" s="158">
        <f t="shared" si="9"/>
        <v>657155.55029620079</v>
      </c>
      <c r="J7" s="158">
        <f t="shared" si="9"/>
        <v>657835.90239565726</v>
      </c>
      <c r="K7" s="158">
        <f t="shared" si="9"/>
        <v>656145.88429224817</v>
      </c>
      <c r="L7" s="158">
        <f t="shared" si="9"/>
        <v>672588.01379620074</v>
      </c>
      <c r="M7" s="158">
        <f t="shared" si="9"/>
        <v>671847.1745081573</v>
      </c>
      <c r="N7" s="158">
        <f t="shared" si="9"/>
        <v>672619.63769873104</v>
      </c>
      <c r="O7" s="1548">
        <f>SUM(C7:E7)</f>
        <v>2018731.9432518976</v>
      </c>
      <c r="P7" s="1548">
        <f>SUM(F7:H7)</f>
        <v>1976867.9771274135</v>
      </c>
      <c r="Q7" s="1548">
        <f>SUM(I7:K7)</f>
        <v>1971137.3369841063</v>
      </c>
      <c r="R7" s="1548">
        <f>SUM(L7:N7)</f>
        <v>2017054.8260030891</v>
      </c>
      <c r="S7" s="1548">
        <f>O7+P7+Q7+R7</f>
        <v>7983792.0833665058</v>
      </c>
      <c r="T7" s="1549">
        <f ca="1">ФОП!C34</f>
        <v>674281.20307363349</v>
      </c>
      <c r="U7" s="1549">
        <f ca="1">ФОП!D34</f>
        <v>671152.62596649071</v>
      </c>
      <c r="V7" s="1549">
        <f ca="1">ФОП!E34</f>
        <v>673298.11421177362</v>
      </c>
      <c r="W7" s="1549">
        <f ca="1">ФОП!F34</f>
        <v>658425.51592058246</v>
      </c>
      <c r="X7" s="1549">
        <f ca="1">ФОП!G34</f>
        <v>659407.83938150166</v>
      </c>
      <c r="Y7" s="1549">
        <f ca="1">ФОП!H34</f>
        <v>659034.62182532926</v>
      </c>
      <c r="Z7" s="1549">
        <f ca="1">ФОП!I34</f>
        <v>657155.55029620079</v>
      </c>
      <c r="AA7" s="1549">
        <f ca="1">ФОП!J34</f>
        <v>657835.90239565726</v>
      </c>
      <c r="AB7" s="1549">
        <f ca="1">ФОП!K34</f>
        <v>656145.88429224817</v>
      </c>
      <c r="AC7" s="1549">
        <f ca="1">ФОП!L34</f>
        <v>672588.01379620074</v>
      </c>
      <c r="AD7" s="1549">
        <f ca="1">ФОП!M34</f>
        <v>671847.1745081573</v>
      </c>
      <c r="AE7" s="1549">
        <f ca="1">ФОП!N34</f>
        <v>672619.63769873104</v>
      </c>
      <c r="AF7" s="1414">
        <f>SUM(T7:V7)</f>
        <v>2018731.9432518976</v>
      </c>
      <c r="AG7" s="1414">
        <f>SUM(W7:Y7)</f>
        <v>1976867.9771274135</v>
      </c>
      <c r="AH7" s="1414">
        <f>SUM(Z7:AB7)</f>
        <v>1971137.3369841063</v>
      </c>
      <c r="AI7" s="1414">
        <f>SUM(AC7:AE7)</f>
        <v>2017054.8260030891</v>
      </c>
      <c r="AJ7" s="1414">
        <f>AF7+AG7+AH7+AI7</f>
        <v>7983792.0833665058</v>
      </c>
      <c r="AK7" s="1549"/>
      <c r="AL7" s="1549"/>
      <c r="AM7" s="1549"/>
      <c r="AN7" s="1549"/>
      <c r="AO7" s="1549"/>
      <c r="AP7" s="1549"/>
      <c r="AQ7" s="1549"/>
      <c r="AR7" s="1549"/>
      <c r="AS7" s="1549"/>
      <c r="AT7" s="1549"/>
      <c r="AU7" s="1549"/>
      <c r="AV7" s="1549"/>
      <c r="AW7" s="1414">
        <f>SUM(AK7:AM7)</f>
        <v>0</v>
      </c>
      <c r="AX7" s="1414">
        <f>SUM(AN7:AP7)</f>
        <v>0</v>
      </c>
      <c r="AY7" s="1414">
        <f>SUM(AQ7:AS7)</f>
        <v>0</v>
      </c>
      <c r="AZ7" s="1414">
        <f>SUM(AT7:AV7)</f>
        <v>0</v>
      </c>
      <c r="BA7" s="1414">
        <f>AW7+AX7+AY7+AZ7</f>
        <v>0</v>
      </c>
      <c r="BB7" s="1549"/>
      <c r="BC7" s="1549"/>
      <c r="BD7" s="1549"/>
      <c r="BE7" s="1549"/>
      <c r="BF7" s="1549"/>
      <c r="BG7" s="1549"/>
      <c r="BH7" s="1549"/>
      <c r="BI7" s="1549"/>
      <c r="BJ7" s="1549"/>
      <c r="BK7" s="1549"/>
      <c r="BL7" s="1549"/>
      <c r="BM7" s="1549"/>
      <c r="BN7" s="1414">
        <f>SUM(BB7:BD7)</f>
        <v>0</v>
      </c>
      <c r="BO7" s="1414">
        <f>SUM(BE7:BG7)</f>
        <v>0</v>
      </c>
      <c r="BP7" s="1414">
        <f>SUM(BH7:BJ7)</f>
        <v>0</v>
      </c>
      <c r="BQ7" s="1414">
        <f>SUM(BK7:BM7)</f>
        <v>0</v>
      </c>
      <c r="BR7" s="1414">
        <f>BN7+BO7+BP7+BQ7</f>
        <v>0</v>
      </c>
    </row>
    <row r="8" spans="1:71">
      <c r="A8" s="481"/>
      <c r="B8" s="159" t="s">
        <v>1952</v>
      </c>
      <c r="C8" s="158">
        <f>T8+AK8+BB8</f>
        <v>6000</v>
      </c>
      <c r="D8" s="158">
        <f t="shared" si="9"/>
        <v>6000</v>
      </c>
      <c r="E8" s="158">
        <f t="shared" si="9"/>
        <v>6000</v>
      </c>
      <c r="F8" s="158">
        <f t="shared" si="9"/>
        <v>6000</v>
      </c>
      <c r="G8" s="158">
        <f t="shared" si="9"/>
        <v>6000</v>
      </c>
      <c r="H8" s="158">
        <f t="shared" si="9"/>
        <v>6000</v>
      </c>
      <c r="I8" s="158">
        <f t="shared" si="9"/>
        <v>6000</v>
      </c>
      <c r="J8" s="158">
        <f t="shared" si="9"/>
        <v>6000</v>
      </c>
      <c r="K8" s="158">
        <f t="shared" si="9"/>
        <v>6000</v>
      </c>
      <c r="L8" s="158">
        <f t="shared" si="9"/>
        <v>6000</v>
      </c>
      <c r="M8" s="158">
        <f t="shared" si="9"/>
        <v>6000</v>
      </c>
      <c r="N8" s="158">
        <f t="shared" si="9"/>
        <v>6000</v>
      </c>
      <c r="O8" s="1548">
        <f>SUM(C8:E8)</f>
        <v>18000</v>
      </c>
      <c r="P8" s="1548">
        <f>SUM(F8:H8)</f>
        <v>18000</v>
      </c>
      <c r="Q8" s="1548">
        <f>SUM(I8:K8)</f>
        <v>18000</v>
      </c>
      <c r="R8" s="1548">
        <f>SUM(L8:N8)</f>
        <v>18000</v>
      </c>
      <c r="S8" s="1548">
        <f>O8+P8+Q8+R8</f>
        <v>72000</v>
      </c>
      <c r="T8" s="1549">
        <f>6000</f>
        <v>6000</v>
      </c>
      <c r="U8" s="1549">
        <f t="shared" ref="U8:AE8" si="10">T8</f>
        <v>6000</v>
      </c>
      <c r="V8" s="1549">
        <f t="shared" si="10"/>
        <v>6000</v>
      </c>
      <c r="W8" s="1549">
        <f t="shared" si="10"/>
        <v>6000</v>
      </c>
      <c r="X8" s="1549">
        <f t="shared" si="10"/>
        <v>6000</v>
      </c>
      <c r="Y8" s="1549">
        <f t="shared" si="10"/>
        <v>6000</v>
      </c>
      <c r="Z8" s="1549">
        <f t="shared" si="10"/>
        <v>6000</v>
      </c>
      <c r="AA8" s="1549">
        <f t="shared" si="10"/>
        <v>6000</v>
      </c>
      <c r="AB8" s="1549">
        <f t="shared" si="10"/>
        <v>6000</v>
      </c>
      <c r="AC8" s="1549">
        <f t="shared" si="10"/>
        <v>6000</v>
      </c>
      <c r="AD8" s="1549">
        <f t="shared" si="10"/>
        <v>6000</v>
      </c>
      <c r="AE8" s="1549">
        <f t="shared" si="10"/>
        <v>6000</v>
      </c>
      <c r="AF8" s="1414">
        <f>SUM(T8:V8)</f>
        <v>18000</v>
      </c>
      <c r="AG8" s="1414">
        <f>SUM(W8:Y8)</f>
        <v>18000</v>
      </c>
      <c r="AH8" s="1414">
        <f>SUM(Z8:AB8)</f>
        <v>18000</v>
      </c>
      <c r="AI8" s="1414">
        <f>SUM(AC8:AE8)</f>
        <v>18000</v>
      </c>
      <c r="AJ8" s="1414">
        <f>AF8+AG8+AH8+AI8</f>
        <v>72000</v>
      </c>
      <c r="AK8" s="1549"/>
      <c r="AL8" s="1549"/>
      <c r="AM8" s="1549"/>
      <c r="AN8" s="1549"/>
      <c r="AO8" s="1549"/>
      <c r="AP8" s="1549"/>
      <c r="AQ8" s="1549"/>
      <c r="AR8" s="1549"/>
      <c r="AS8" s="1549"/>
      <c r="AT8" s="1549"/>
      <c r="AU8" s="1549"/>
      <c r="AV8" s="1549"/>
      <c r="AW8" s="1414">
        <f>SUM(AK8:AM8)</f>
        <v>0</v>
      </c>
      <c r="AX8" s="1414">
        <f>SUM(AN8:AP8)</f>
        <v>0</v>
      </c>
      <c r="AY8" s="1414">
        <f>SUM(AQ8:AS8)</f>
        <v>0</v>
      </c>
      <c r="AZ8" s="1414">
        <f>SUM(AT8:AV8)</f>
        <v>0</v>
      </c>
      <c r="BA8" s="1414">
        <f>AW8+AX8+AY8+AZ8</f>
        <v>0</v>
      </c>
      <c r="BB8" s="1549"/>
      <c r="BC8" s="1549"/>
      <c r="BD8" s="1549"/>
      <c r="BE8" s="1549"/>
      <c r="BF8" s="1549"/>
      <c r="BG8" s="1549"/>
      <c r="BH8" s="1549"/>
      <c r="BI8" s="1549"/>
      <c r="BJ8" s="1549"/>
      <c r="BK8" s="1549"/>
      <c r="BL8" s="1549"/>
      <c r="BM8" s="1549"/>
      <c r="BN8" s="1414">
        <f>SUM(BB8:BD8)</f>
        <v>0</v>
      </c>
      <c r="BO8" s="1414">
        <f>SUM(BE8:BG8)</f>
        <v>0</v>
      </c>
      <c r="BP8" s="1414">
        <f>SUM(BH8:BJ8)</f>
        <v>0</v>
      </c>
      <c r="BQ8" s="1414">
        <f>SUM(BK8:BM8)</f>
        <v>0</v>
      </c>
      <c r="BR8" s="1414">
        <f>BN8+BO8+BP8+BQ8</f>
        <v>0</v>
      </c>
    </row>
    <row r="9" spans="1:71">
      <c r="A9" s="480"/>
      <c r="B9" s="160" t="s">
        <v>1559</v>
      </c>
      <c r="C9" s="156">
        <f>SUM(C10,C19,C18,C20,C21,C22,C23,C24,C17,C25,C32)</f>
        <v>1573668.5250451467</v>
      </c>
      <c r="D9" s="156">
        <f t="shared" ref="D9:N9" si="11">SUM(D10,D19,D18,D20,D21,D22,D23,D24,D17,D25,D32)</f>
        <v>1376381.7657044872</v>
      </c>
      <c r="E9" s="156">
        <f t="shared" si="11"/>
        <v>1437617.6250451466</v>
      </c>
      <c r="F9" s="156">
        <f t="shared" si="11"/>
        <v>1214213.1085616299</v>
      </c>
      <c r="G9" s="156">
        <f t="shared" si="11"/>
        <v>783277.31185833341</v>
      </c>
      <c r="H9" s="156">
        <f t="shared" si="11"/>
        <v>708678.81185833341</v>
      </c>
      <c r="I9" s="156">
        <f t="shared" si="11"/>
        <v>878809.81185833341</v>
      </c>
      <c r="J9" s="156">
        <f t="shared" si="11"/>
        <v>718607.81185833341</v>
      </c>
      <c r="K9" s="156">
        <f t="shared" si="11"/>
        <v>839398.8118583333</v>
      </c>
      <c r="L9" s="156">
        <f t="shared" si="11"/>
        <v>1269675.4283418497</v>
      </c>
      <c r="M9" s="156">
        <f t="shared" si="11"/>
        <v>1415950.9052649268</v>
      </c>
      <c r="N9" s="156">
        <f t="shared" si="11"/>
        <v>1404344.8250451465</v>
      </c>
      <c r="O9" s="1547">
        <f t="shared" ref="O9:T9" si="12">SUM(O10,O19,O18,O20,O21,O22,O23,O24,O17,O25,O32)</f>
        <v>4387667.9157947805</v>
      </c>
      <c r="P9" s="1547">
        <f t="shared" si="12"/>
        <v>2706169.2322782967</v>
      </c>
      <c r="Q9" s="1547">
        <f t="shared" si="12"/>
        <v>2436816.435575</v>
      </c>
      <c r="R9" s="1547">
        <f t="shared" si="12"/>
        <v>4089971.1586519228</v>
      </c>
      <c r="S9" s="1547">
        <f t="shared" si="12"/>
        <v>13620624.7423</v>
      </c>
      <c r="T9" s="1413">
        <f t="shared" si="12"/>
        <v>642277.61185833334</v>
      </c>
      <c r="U9" s="1413">
        <f t="shared" ref="U9:AJ9" si="13">SUM(U10,U19,U18,U20,U21,U22,U23,U24,U17,U25,U32)</f>
        <v>526752.61185833334</v>
      </c>
      <c r="V9" s="1413">
        <f t="shared" si="13"/>
        <v>556342.61185833334</v>
      </c>
      <c r="W9" s="1413">
        <f t="shared" si="13"/>
        <v>651721.61185833334</v>
      </c>
      <c r="X9" s="1413">
        <f t="shared" si="13"/>
        <v>537657.61185833334</v>
      </c>
      <c r="Y9" s="1413">
        <f t="shared" si="13"/>
        <v>516927.61185833334</v>
      </c>
      <c r="Z9" s="1413">
        <f t="shared" si="13"/>
        <v>681058.61185833334</v>
      </c>
      <c r="AA9" s="1413">
        <f t="shared" si="13"/>
        <v>526756.61185833334</v>
      </c>
      <c r="AB9" s="1413">
        <f t="shared" si="13"/>
        <v>564810.61185833334</v>
      </c>
      <c r="AC9" s="1413">
        <f t="shared" si="13"/>
        <v>664982.61185833334</v>
      </c>
      <c r="AD9" s="1413">
        <f t="shared" si="13"/>
        <v>483987.61185833334</v>
      </c>
      <c r="AE9" s="1413">
        <f t="shared" si="13"/>
        <v>480027.61185833334</v>
      </c>
      <c r="AF9" s="1413">
        <f t="shared" si="13"/>
        <v>1725372.8355749999</v>
      </c>
      <c r="AG9" s="1413">
        <f t="shared" si="13"/>
        <v>1706306.8355749999</v>
      </c>
      <c r="AH9" s="1413">
        <f t="shared" si="13"/>
        <v>1772625.8355749999</v>
      </c>
      <c r="AI9" s="1413">
        <f t="shared" si="13"/>
        <v>1628997.8355749999</v>
      </c>
      <c r="AJ9" s="1413">
        <f t="shared" si="13"/>
        <v>6833303.3422999997</v>
      </c>
      <c r="AK9" s="1413">
        <f>SUM(AK10,AK19,AK18,AK20,AK21,AK22,AK23,AK24,AK17,AK25,AK32)</f>
        <v>134286.74809114711</v>
      </c>
      <c r="AL9" s="1413">
        <f t="shared" ref="AL9:BA9" si="14">SUM(AL10,AL19,AL18,AL20,AL21,AL22,AL23,AL24,AL17,AL25,AL32)</f>
        <v>125305.01785446971</v>
      </c>
      <c r="AM9" s="1413">
        <f t="shared" si="14"/>
        <v>130032.84009114711</v>
      </c>
      <c r="AN9" s="1413">
        <f t="shared" si="14"/>
        <v>94443.782828867726</v>
      </c>
      <c r="AO9" s="1413">
        <f t="shared" si="14"/>
        <v>75527.571645480813</v>
      </c>
      <c r="AP9" s="1413">
        <f t="shared" si="14"/>
        <v>54103.351645480812</v>
      </c>
      <c r="AQ9" s="1413">
        <f t="shared" si="14"/>
        <v>60103.351645480812</v>
      </c>
      <c r="AR9" s="1413">
        <f t="shared" si="14"/>
        <v>54115.351645480812</v>
      </c>
      <c r="AS9" s="1413">
        <f t="shared" si="14"/>
        <v>71963.791645480815</v>
      </c>
      <c r="AT9" s="1413">
        <f t="shared" si="14"/>
        <v>99231.380907760205</v>
      </c>
      <c r="AU9" s="1413">
        <f t="shared" si="14"/>
        <v>165431.99401225464</v>
      </c>
      <c r="AV9" s="1413">
        <f t="shared" si="14"/>
        <v>133437.90409114712</v>
      </c>
      <c r="AW9" s="1413">
        <f t="shared" si="14"/>
        <v>389624.60603676393</v>
      </c>
      <c r="AX9" s="1413">
        <f t="shared" si="14"/>
        <v>224074.70611982935</v>
      </c>
      <c r="AY9" s="1413">
        <f t="shared" si="14"/>
        <v>186182.49493644244</v>
      </c>
      <c r="AZ9" s="1413">
        <f t="shared" si="14"/>
        <v>398101.27901116194</v>
      </c>
      <c r="BA9" s="1413">
        <f t="shared" si="14"/>
        <v>1197983.0861041977</v>
      </c>
      <c r="BB9" s="1413">
        <f>SUM(BB10,BB19,BB18,BB20,BB21,BB22,BB23,BB24,BB17,BB25,BB32)</f>
        <v>797104.16509566607</v>
      </c>
      <c r="BC9" s="1413">
        <f t="shared" ref="BC9:BM9" si="15">SUM(BC10,BC19,BC18,BC20,BC21,BC22,BC23,BC24,BC17,BC25,BC32)</f>
        <v>724324.13599168416</v>
      </c>
      <c r="BD9" s="1413">
        <f t="shared" si="15"/>
        <v>751242.1730956661</v>
      </c>
      <c r="BE9" s="1413">
        <f t="shared" si="15"/>
        <v>468047.71387442894</v>
      </c>
      <c r="BF9" s="1413">
        <f t="shared" si="15"/>
        <v>170092.1283545192</v>
      </c>
      <c r="BG9" s="1413">
        <f t="shared" si="15"/>
        <v>137647.8483545192</v>
      </c>
      <c r="BH9" s="1413">
        <f t="shared" si="15"/>
        <v>137647.8483545192</v>
      </c>
      <c r="BI9" s="1413">
        <f t="shared" si="15"/>
        <v>137735.8483545192</v>
      </c>
      <c r="BJ9" s="1413">
        <f t="shared" si="15"/>
        <v>202624.40835451917</v>
      </c>
      <c r="BK9" s="1413">
        <f t="shared" si="15"/>
        <v>505461.4355757563</v>
      </c>
      <c r="BL9" s="1413">
        <f t="shared" si="15"/>
        <v>766531.29939433886</v>
      </c>
      <c r="BM9" s="1413">
        <f t="shared" si="15"/>
        <v>790879.30909566605</v>
      </c>
      <c r="BN9" s="1413">
        <f>SUM(BN10,BN19,BN18,BN20,BN21,BN22,BN23,BN24,BN17,BN25,BN32)</f>
        <v>2272670.4741830165</v>
      </c>
      <c r="BO9" s="1413">
        <f>SUM(BO10,BO19,BO18,BO20,BO21,BO22,BO23,BO24,BO17,BO25,BO32)</f>
        <v>775787.69058346737</v>
      </c>
      <c r="BP9" s="1413">
        <f>SUM(BP10,BP19,BP18,BP20,BP21,BP22,BP23,BP24,BP17,BP25,BP32)</f>
        <v>478008.10506355757</v>
      </c>
      <c r="BQ9" s="1413">
        <f>SUM(BQ10,BQ19,BQ18,BQ20,BQ21,BQ22,BQ23,BQ24,BQ17,BQ25,BQ32)</f>
        <v>2062872.0440657611</v>
      </c>
      <c r="BR9" s="1413">
        <f>SUM(BR10,BR19,BR18,BR20,BR21,BR22,BR23,BR24,BR17,BR25,BR32)</f>
        <v>5589338.3138958029</v>
      </c>
    </row>
    <row r="10" spans="1:71">
      <c r="A10" s="480"/>
      <c r="B10" s="161" t="s">
        <v>1945</v>
      </c>
      <c r="C10" s="156">
        <f>SUM(C11:C16)</f>
        <v>405167.11185833334</v>
      </c>
      <c r="D10" s="156">
        <f t="shared" ref="D10:M10" si="16">SUM(D11:D16)</f>
        <v>405167.11185833334</v>
      </c>
      <c r="E10" s="156">
        <f t="shared" si="16"/>
        <v>405167.11185833334</v>
      </c>
      <c r="F10" s="156">
        <f t="shared" si="16"/>
        <v>405167.11185833334</v>
      </c>
      <c r="G10" s="156">
        <f t="shared" si="16"/>
        <v>405167.11185833334</v>
      </c>
      <c r="H10" s="156">
        <f t="shared" si="16"/>
        <v>405167.11185833334</v>
      </c>
      <c r="I10" s="156">
        <f t="shared" si="16"/>
        <v>405167.11185833334</v>
      </c>
      <c r="J10" s="156">
        <f t="shared" si="16"/>
        <v>405167.11185833334</v>
      </c>
      <c r="K10" s="156">
        <f t="shared" si="16"/>
        <v>405167.11185833334</v>
      </c>
      <c r="L10" s="156">
        <f t="shared" si="16"/>
        <v>405167.11185833334</v>
      </c>
      <c r="M10" s="156">
        <f t="shared" si="16"/>
        <v>405167.11185833334</v>
      </c>
      <c r="N10" s="156">
        <f t="shared" ref="N10:S10" si="17">SUM(N11:N16)</f>
        <v>405167.11185833334</v>
      </c>
      <c r="O10" s="1547">
        <f t="shared" si="17"/>
        <v>1215501.3355749999</v>
      </c>
      <c r="P10" s="1547">
        <f t="shared" si="17"/>
        <v>1215501.3355749999</v>
      </c>
      <c r="Q10" s="1547">
        <f t="shared" si="17"/>
        <v>1215501.3355749999</v>
      </c>
      <c r="R10" s="1547">
        <f t="shared" si="17"/>
        <v>1215501.3355749999</v>
      </c>
      <c r="S10" s="1547">
        <f t="shared" si="17"/>
        <v>4862005.3422999997</v>
      </c>
      <c r="T10" s="1413">
        <f>SUM(T11:T16)</f>
        <v>372167.11185833334</v>
      </c>
      <c r="U10" s="1413">
        <f t="shared" ref="U10:AD10" si="18">SUM(U11:U16)</f>
        <v>372167.11185833334</v>
      </c>
      <c r="V10" s="1413">
        <f t="shared" si="18"/>
        <v>372167.11185833334</v>
      </c>
      <c r="W10" s="1413">
        <f t="shared" si="18"/>
        <v>372167.11185833334</v>
      </c>
      <c r="X10" s="1413">
        <f t="shared" si="18"/>
        <v>372167.11185833334</v>
      </c>
      <c r="Y10" s="1413">
        <f t="shared" si="18"/>
        <v>372167.11185833334</v>
      </c>
      <c r="Z10" s="1413">
        <f t="shared" si="18"/>
        <v>372167.11185833334</v>
      </c>
      <c r="AA10" s="1413">
        <f t="shared" si="18"/>
        <v>372167.11185833334</v>
      </c>
      <c r="AB10" s="1413">
        <f t="shared" si="18"/>
        <v>372167.11185833334</v>
      </c>
      <c r="AC10" s="1413">
        <f t="shared" si="18"/>
        <v>372167.11185833334</v>
      </c>
      <c r="AD10" s="1413">
        <f t="shared" si="18"/>
        <v>372167.11185833334</v>
      </c>
      <c r="AE10" s="1413">
        <f t="shared" ref="AE10:AK10" si="19">SUM(AE11:AE16)</f>
        <v>372167.11185833334</v>
      </c>
      <c r="AF10" s="1413">
        <f t="shared" si="19"/>
        <v>1116501.3355749999</v>
      </c>
      <c r="AG10" s="1413">
        <f t="shared" si="19"/>
        <v>1116501.3355749999</v>
      </c>
      <c r="AH10" s="1413">
        <f t="shared" si="19"/>
        <v>1116501.3355749999</v>
      </c>
      <c r="AI10" s="1413">
        <f t="shared" si="19"/>
        <v>1116501.3355749999</v>
      </c>
      <c r="AJ10" s="1413">
        <f t="shared" si="19"/>
        <v>4466005.3422999997</v>
      </c>
      <c r="AK10" s="1413">
        <f t="shared" si="19"/>
        <v>33000</v>
      </c>
      <c r="AL10" s="1413">
        <f t="shared" ref="AL10:AU10" si="20">SUM(AL11:AL16)</f>
        <v>33000</v>
      </c>
      <c r="AM10" s="1413">
        <f t="shared" si="20"/>
        <v>33000</v>
      </c>
      <c r="AN10" s="1413">
        <f t="shared" si="20"/>
        <v>33000</v>
      </c>
      <c r="AO10" s="1413">
        <f t="shared" si="20"/>
        <v>33000</v>
      </c>
      <c r="AP10" s="1413">
        <f t="shared" si="20"/>
        <v>33000</v>
      </c>
      <c r="AQ10" s="1413">
        <f t="shared" si="20"/>
        <v>33000</v>
      </c>
      <c r="AR10" s="1413">
        <f t="shared" si="20"/>
        <v>33000</v>
      </c>
      <c r="AS10" s="1413">
        <f t="shared" si="20"/>
        <v>33000</v>
      </c>
      <c r="AT10" s="1413">
        <f t="shared" si="20"/>
        <v>33000</v>
      </c>
      <c r="AU10" s="1413">
        <f t="shared" si="20"/>
        <v>33000</v>
      </c>
      <c r="AV10" s="1413">
        <f t="shared" ref="AV10:BB10" si="21">SUM(AV11:AV16)</f>
        <v>33000</v>
      </c>
      <c r="AW10" s="1413">
        <f t="shared" si="21"/>
        <v>99000</v>
      </c>
      <c r="AX10" s="1413">
        <f t="shared" si="21"/>
        <v>99000</v>
      </c>
      <c r="AY10" s="1413">
        <f t="shared" si="21"/>
        <v>99000</v>
      </c>
      <c r="AZ10" s="1413">
        <f t="shared" si="21"/>
        <v>99000</v>
      </c>
      <c r="BA10" s="1413">
        <f t="shared" si="21"/>
        <v>396000</v>
      </c>
      <c r="BB10" s="1413">
        <f t="shared" si="21"/>
        <v>0</v>
      </c>
      <c r="BC10" s="1413">
        <f t="shared" ref="BC10:BL10" si="22">SUM(BC11:BC16)</f>
        <v>0</v>
      </c>
      <c r="BD10" s="1413">
        <f t="shared" si="22"/>
        <v>0</v>
      </c>
      <c r="BE10" s="1413">
        <f t="shared" si="22"/>
        <v>0</v>
      </c>
      <c r="BF10" s="1413">
        <f t="shared" si="22"/>
        <v>0</v>
      </c>
      <c r="BG10" s="1413">
        <f t="shared" si="22"/>
        <v>0</v>
      </c>
      <c r="BH10" s="1413">
        <f t="shared" si="22"/>
        <v>0</v>
      </c>
      <c r="BI10" s="1413">
        <f t="shared" si="22"/>
        <v>0</v>
      </c>
      <c r="BJ10" s="1413">
        <f t="shared" si="22"/>
        <v>0</v>
      </c>
      <c r="BK10" s="1413">
        <f t="shared" si="22"/>
        <v>0</v>
      </c>
      <c r="BL10" s="1413">
        <f t="shared" si="22"/>
        <v>0</v>
      </c>
      <c r="BM10" s="1413">
        <f t="shared" ref="BM10:BR10" si="23">SUM(BM11:BM16)</f>
        <v>0</v>
      </c>
      <c r="BN10" s="1413">
        <f t="shared" si="23"/>
        <v>0</v>
      </c>
      <c r="BO10" s="1413">
        <f t="shared" si="23"/>
        <v>0</v>
      </c>
      <c r="BP10" s="1413">
        <f t="shared" si="23"/>
        <v>0</v>
      </c>
      <c r="BQ10" s="1413">
        <f t="shared" si="23"/>
        <v>0</v>
      </c>
      <c r="BR10" s="1413">
        <f t="shared" si="23"/>
        <v>0</v>
      </c>
    </row>
    <row r="11" spans="1:71" ht="16.5">
      <c r="A11" s="481"/>
      <c r="B11" s="162" t="s">
        <v>1560</v>
      </c>
      <c r="C11" s="158">
        <f t="shared" ref="C11:N13" si="24">T11+AK11+BB11</f>
        <v>242297.11185833334</v>
      </c>
      <c r="D11" s="158">
        <f t="shared" si="24"/>
        <v>242297.11185833334</v>
      </c>
      <c r="E11" s="158">
        <f t="shared" si="24"/>
        <v>242297.11185833334</v>
      </c>
      <c r="F11" s="158">
        <f t="shared" si="24"/>
        <v>242297.11185833334</v>
      </c>
      <c r="G11" s="158">
        <f t="shared" si="24"/>
        <v>242297.11185833334</v>
      </c>
      <c r="H11" s="158">
        <f t="shared" si="24"/>
        <v>242297.11185833334</v>
      </c>
      <c r="I11" s="158">
        <f t="shared" si="24"/>
        <v>242297.11185833334</v>
      </c>
      <c r="J11" s="158">
        <f t="shared" si="24"/>
        <v>242297.11185833334</v>
      </c>
      <c r="K11" s="158">
        <f t="shared" si="24"/>
        <v>242297.11185833334</v>
      </c>
      <c r="L11" s="158">
        <f t="shared" si="24"/>
        <v>242297.11185833334</v>
      </c>
      <c r="M11" s="158">
        <f t="shared" si="24"/>
        <v>242297.11185833334</v>
      </c>
      <c r="N11" s="158">
        <f t="shared" si="24"/>
        <v>242297.11185833334</v>
      </c>
      <c r="O11" s="1548">
        <f>SUM(C11:E11)</f>
        <v>726891.33557500003</v>
      </c>
      <c r="P11" s="1548">
        <f>SUM(F11:H11)</f>
        <v>726891.33557500003</v>
      </c>
      <c r="Q11" s="1548">
        <f>SUM(I11:K11)</f>
        <v>726891.33557500003</v>
      </c>
      <c r="R11" s="1548">
        <f>SUM(L11:N11)</f>
        <v>726891.33557500003</v>
      </c>
      <c r="S11" s="1548">
        <f>O11+P11+Q11+R11</f>
        <v>2907565.3423000001</v>
      </c>
      <c r="T11" s="1549">
        <f ca="1">'2220'!J474/12</f>
        <v>232297.11185833334</v>
      </c>
      <c r="U11" s="1549">
        <f t="shared" ref="U11:AE11" si="25">T11</f>
        <v>232297.11185833334</v>
      </c>
      <c r="V11" s="1549">
        <f t="shared" si="25"/>
        <v>232297.11185833334</v>
      </c>
      <c r="W11" s="1549">
        <f t="shared" si="25"/>
        <v>232297.11185833334</v>
      </c>
      <c r="X11" s="1549">
        <f t="shared" si="25"/>
        <v>232297.11185833334</v>
      </c>
      <c r="Y11" s="1549">
        <f t="shared" si="25"/>
        <v>232297.11185833334</v>
      </c>
      <c r="Z11" s="1549">
        <f t="shared" si="25"/>
        <v>232297.11185833334</v>
      </c>
      <c r="AA11" s="1549">
        <f t="shared" si="25"/>
        <v>232297.11185833334</v>
      </c>
      <c r="AB11" s="1549">
        <f t="shared" si="25"/>
        <v>232297.11185833334</v>
      </c>
      <c r="AC11" s="1549">
        <f t="shared" si="25"/>
        <v>232297.11185833334</v>
      </c>
      <c r="AD11" s="1549">
        <f t="shared" si="25"/>
        <v>232297.11185833334</v>
      </c>
      <c r="AE11" s="1549">
        <f t="shared" si="25"/>
        <v>232297.11185833334</v>
      </c>
      <c r="AF11" s="1414">
        <f>SUM(T11:V11)</f>
        <v>696891.33557500003</v>
      </c>
      <c r="AG11" s="1414">
        <f>SUM(W11:Y11)</f>
        <v>696891.33557500003</v>
      </c>
      <c r="AH11" s="1414">
        <f>SUM(Z11:AB11)</f>
        <v>696891.33557500003</v>
      </c>
      <c r="AI11" s="1414">
        <f>SUM(AC11:AE11)</f>
        <v>696891.33557500003</v>
      </c>
      <c r="AJ11" s="1414">
        <f>AF11+AG11+AH11+AI11</f>
        <v>2787565.3423000001</v>
      </c>
      <c r="AK11" s="1550">
        <f>10000</f>
        <v>10000</v>
      </c>
      <c r="AL11" s="1551">
        <f>AK11</f>
        <v>10000</v>
      </c>
      <c r="AM11" s="1551">
        <f t="shared" ref="AM11:AV11" si="26">AL11</f>
        <v>10000</v>
      </c>
      <c r="AN11" s="1551">
        <f t="shared" si="26"/>
        <v>10000</v>
      </c>
      <c r="AO11" s="1551">
        <f t="shared" si="26"/>
        <v>10000</v>
      </c>
      <c r="AP11" s="1551">
        <f t="shared" si="26"/>
        <v>10000</v>
      </c>
      <c r="AQ11" s="1551">
        <f t="shared" si="26"/>
        <v>10000</v>
      </c>
      <c r="AR11" s="1551">
        <f t="shared" si="26"/>
        <v>10000</v>
      </c>
      <c r="AS11" s="1551">
        <f t="shared" si="26"/>
        <v>10000</v>
      </c>
      <c r="AT11" s="1551">
        <f t="shared" si="26"/>
        <v>10000</v>
      </c>
      <c r="AU11" s="1551">
        <f t="shared" si="26"/>
        <v>10000</v>
      </c>
      <c r="AV11" s="1551">
        <f t="shared" si="26"/>
        <v>10000</v>
      </c>
      <c r="AW11" s="1414">
        <f>SUM(AK11:AM11)</f>
        <v>30000</v>
      </c>
      <c r="AX11" s="1414">
        <f>SUM(AN11:AP11)</f>
        <v>30000</v>
      </c>
      <c r="AY11" s="1414">
        <f>SUM(AQ11:AS11)</f>
        <v>30000</v>
      </c>
      <c r="AZ11" s="1414">
        <f>SUM(AT11:AV11)</f>
        <v>30000</v>
      </c>
      <c r="BA11" s="1414">
        <f>AW11+AX11+AY11+AZ11</f>
        <v>120000</v>
      </c>
      <c r="BB11" s="1549"/>
      <c r="BC11" s="1549">
        <f t="shared" ref="BC11:BM11" si="27">BB11</f>
        <v>0</v>
      </c>
      <c r="BD11" s="1549">
        <f t="shared" si="27"/>
        <v>0</v>
      </c>
      <c r="BE11" s="1549">
        <f t="shared" si="27"/>
        <v>0</v>
      </c>
      <c r="BF11" s="1549">
        <f t="shared" si="27"/>
        <v>0</v>
      </c>
      <c r="BG11" s="1549">
        <f t="shared" si="27"/>
        <v>0</v>
      </c>
      <c r="BH11" s="1549">
        <f t="shared" si="27"/>
        <v>0</v>
      </c>
      <c r="BI11" s="1549">
        <f t="shared" si="27"/>
        <v>0</v>
      </c>
      <c r="BJ11" s="1549">
        <f t="shared" si="27"/>
        <v>0</v>
      </c>
      <c r="BK11" s="1549">
        <f t="shared" si="27"/>
        <v>0</v>
      </c>
      <c r="BL11" s="1549">
        <f t="shared" si="27"/>
        <v>0</v>
      </c>
      <c r="BM11" s="1549">
        <f t="shared" si="27"/>
        <v>0</v>
      </c>
      <c r="BN11" s="1414">
        <f>SUM(BB11:BD11)</f>
        <v>0</v>
      </c>
      <c r="BO11" s="1414">
        <f>SUM(BE11:BG11)</f>
        <v>0</v>
      </c>
      <c r="BP11" s="1414">
        <f>SUM(BH11:BJ11)</f>
        <v>0</v>
      </c>
      <c r="BQ11" s="1414">
        <f>SUM(BK11:BM11)</f>
        <v>0</v>
      </c>
      <c r="BR11" s="1414">
        <f>BN11+BO11+BP11+BQ11</f>
        <v>0</v>
      </c>
    </row>
    <row r="12" spans="1:71" s="1220" customFormat="1" ht="16.5">
      <c r="A12" s="1218"/>
      <c r="B12" s="1215" t="s">
        <v>1561</v>
      </c>
      <c r="C12" s="1219">
        <f t="shared" si="24"/>
        <v>0</v>
      </c>
      <c r="D12" s="1219">
        <f t="shared" si="24"/>
        <v>0</v>
      </c>
      <c r="E12" s="1219">
        <f t="shared" si="24"/>
        <v>0</v>
      </c>
      <c r="F12" s="1219">
        <f t="shared" si="24"/>
        <v>0</v>
      </c>
      <c r="G12" s="1219">
        <f t="shared" si="24"/>
        <v>0</v>
      </c>
      <c r="H12" s="1219">
        <f t="shared" si="24"/>
        <v>0</v>
      </c>
      <c r="I12" s="1219">
        <f t="shared" si="24"/>
        <v>0</v>
      </c>
      <c r="J12" s="1219">
        <f t="shared" si="24"/>
        <v>0</v>
      </c>
      <c r="K12" s="1219">
        <f t="shared" si="24"/>
        <v>0</v>
      </c>
      <c r="L12" s="1219">
        <f t="shared" si="24"/>
        <v>0</v>
      </c>
      <c r="M12" s="1219">
        <f t="shared" si="24"/>
        <v>0</v>
      </c>
      <c r="N12" s="1219">
        <f t="shared" si="24"/>
        <v>0</v>
      </c>
      <c r="O12" s="1552">
        <f>SUM(C12:E12)</f>
        <v>0</v>
      </c>
      <c r="P12" s="1552">
        <f>SUM(F12:H12)</f>
        <v>0</v>
      </c>
      <c r="Q12" s="1552">
        <f>SUM(I12:K12)</f>
        <v>0</v>
      </c>
      <c r="R12" s="1552">
        <f>SUM(L12:N12)</f>
        <v>0</v>
      </c>
      <c r="S12" s="1552">
        <f>O12+P12+Q12+R12</f>
        <v>0</v>
      </c>
      <c r="T12" s="1553">
        <v>0</v>
      </c>
      <c r="U12" s="1553">
        <f t="shared" ref="U12:AE12" si="28">T12</f>
        <v>0</v>
      </c>
      <c r="V12" s="1553">
        <f t="shared" si="28"/>
        <v>0</v>
      </c>
      <c r="W12" s="1553">
        <f t="shared" si="28"/>
        <v>0</v>
      </c>
      <c r="X12" s="1553">
        <f t="shared" si="28"/>
        <v>0</v>
      </c>
      <c r="Y12" s="1553">
        <f t="shared" si="28"/>
        <v>0</v>
      </c>
      <c r="Z12" s="1553">
        <f t="shared" si="28"/>
        <v>0</v>
      </c>
      <c r="AA12" s="1553">
        <f t="shared" si="28"/>
        <v>0</v>
      </c>
      <c r="AB12" s="1553">
        <f t="shared" si="28"/>
        <v>0</v>
      </c>
      <c r="AC12" s="1553">
        <f t="shared" si="28"/>
        <v>0</v>
      </c>
      <c r="AD12" s="1553">
        <f t="shared" si="28"/>
        <v>0</v>
      </c>
      <c r="AE12" s="1553">
        <f t="shared" si="28"/>
        <v>0</v>
      </c>
      <c r="AF12" s="1543">
        <f t="shared" ref="AF12:AF24" si="29">SUM(T12:V12)</f>
        <v>0</v>
      </c>
      <c r="AG12" s="1543">
        <f t="shared" ref="AG12:AG24" si="30">SUM(W12:Y12)</f>
        <v>0</v>
      </c>
      <c r="AH12" s="1543">
        <f t="shared" ref="AH12:AH24" si="31">SUM(Z12:AB12)</f>
        <v>0</v>
      </c>
      <c r="AI12" s="1543">
        <f t="shared" ref="AI12:AI24" si="32">SUM(AC12:AE12)</f>
        <v>0</v>
      </c>
      <c r="AJ12" s="1543">
        <f t="shared" ref="AJ12:AJ24" si="33">AF12+AG12+AH12+AI12</f>
        <v>0</v>
      </c>
      <c r="AK12" s="1550"/>
      <c r="AL12" s="1551"/>
      <c r="AM12" s="1551"/>
      <c r="AN12" s="1551"/>
      <c r="AO12" s="1551"/>
      <c r="AP12" s="1551"/>
      <c r="AQ12" s="1551"/>
      <c r="AR12" s="1551"/>
      <c r="AS12" s="1551"/>
      <c r="AT12" s="1551"/>
      <c r="AU12" s="1551"/>
      <c r="AV12" s="1551"/>
      <c r="AW12" s="1543">
        <f t="shared" ref="AW12:AW24" si="34">SUM(AK12:AM12)</f>
        <v>0</v>
      </c>
      <c r="AX12" s="1543">
        <f t="shared" ref="AX12:AX24" si="35">SUM(AN12:AP12)</f>
        <v>0</v>
      </c>
      <c r="AY12" s="1543">
        <f t="shared" ref="AY12:AY24" si="36">SUM(AQ12:AS12)</f>
        <v>0</v>
      </c>
      <c r="AZ12" s="1543">
        <f t="shared" ref="AZ12:AZ24" si="37">SUM(AT12:AV12)</f>
        <v>0</v>
      </c>
      <c r="BA12" s="1543">
        <f t="shared" ref="BA12:BA24" si="38">AW12+AX12+AY12+AZ12</f>
        <v>0</v>
      </c>
      <c r="BB12" s="1553"/>
      <c r="BC12" s="1553">
        <f t="shared" ref="BC12:BM12" si="39">BB12</f>
        <v>0</v>
      </c>
      <c r="BD12" s="1553">
        <f t="shared" si="39"/>
        <v>0</v>
      </c>
      <c r="BE12" s="1553">
        <f t="shared" si="39"/>
        <v>0</v>
      </c>
      <c r="BF12" s="1553">
        <f t="shared" si="39"/>
        <v>0</v>
      </c>
      <c r="BG12" s="1553">
        <f t="shared" si="39"/>
        <v>0</v>
      </c>
      <c r="BH12" s="1553">
        <f t="shared" si="39"/>
        <v>0</v>
      </c>
      <c r="BI12" s="1553">
        <f t="shared" si="39"/>
        <v>0</v>
      </c>
      <c r="BJ12" s="1553">
        <f t="shared" si="39"/>
        <v>0</v>
      </c>
      <c r="BK12" s="1553">
        <f t="shared" si="39"/>
        <v>0</v>
      </c>
      <c r="BL12" s="1553">
        <f t="shared" si="39"/>
        <v>0</v>
      </c>
      <c r="BM12" s="1553">
        <f t="shared" si="39"/>
        <v>0</v>
      </c>
      <c r="BN12" s="1543">
        <f t="shared" ref="BN12:BN24" si="40">SUM(BB12:BD12)</f>
        <v>0</v>
      </c>
      <c r="BO12" s="1543">
        <f t="shared" ref="BO12:BO24" si="41">SUM(BE12:BG12)</f>
        <v>0</v>
      </c>
      <c r="BP12" s="1543">
        <f t="shared" ref="BP12:BP24" si="42">SUM(BH12:BJ12)</f>
        <v>0</v>
      </c>
      <c r="BQ12" s="1543">
        <f t="shared" ref="BQ12:BQ24" si="43">SUM(BK12:BM12)</f>
        <v>0</v>
      </c>
      <c r="BR12" s="1543">
        <f t="shared" ref="BR12:BR24" si="44">BN12+BO12+BP12+BQ12</f>
        <v>0</v>
      </c>
    </row>
    <row r="13" spans="1:71" ht="25.5">
      <c r="A13" s="481"/>
      <c r="B13" s="162" t="s">
        <v>1562</v>
      </c>
      <c r="C13" s="158">
        <f t="shared" si="24"/>
        <v>149259.08333333331</v>
      </c>
      <c r="D13" s="158">
        <f t="shared" si="24"/>
        <v>149259.08333333331</v>
      </c>
      <c r="E13" s="158">
        <f t="shared" si="24"/>
        <v>149259.08333333331</v>
      </c>
      <c r="F13" s="158">
        <f t="shared" si="24"/>
        <v>149259.08333333331</v>
      </c>
      <c r="G13" s="158">
        <f t="shared" si="24"/>
        <v>149259.08333333331</v>
      </c>
      <c r="H13" s="158">
        <f t="shared" si="24"/>
        <v>149259.08333333331</v>
      </c>
      <c r="I13" s="158">
        <f t="shared" si="24"/>
        <v>149259.08333333331</v>
      </c>
      <c r="J13" s="158">
        <f t="shared" si="24"/>
        <v>149259.08333333331</v>
      </c>
      <c r="K13" s="158">
        <f t="shared" si="24"/>
        <v>149259.08333333331</v>
      </c>
      <c r="L13" s="158">
        <f t="shared" si="24"/>
        <v>149259.08333333331</v>
      </c>
      <c r="M13" s="158">
        <f t="shared" si="24"/>
        <v>149259.08333333331</v>
      </c>
      <c r="N13" s="158">
        <f t="shared" si="24"/>
        <v>149259.08333333331</v>
      </c>
      <c r="O13" s="1548">
        <f>SUM(C13:E13)</f>
        <v>447777.24999999994</v>
      </c>
      <c r="P13" s="1548">
        <f>SUM(F13:H13)</f>
        <v>447777.24999999994</v>
      </c>
      <c r="Q13" s="1548">
        <f>SUM(I13:K13)</f>
        <v>447777.24999999994</v>
      </c>
      <c r="R13" s="1548">
        <f>SUM(L13:N13)</f>
        <v>447777.24999999994</v>
      </c>
      <c r="S13" s="1548">
        <f>O13+P13+Q13+R13</f>
        <v>1791108.9999999998</v>
      </c>
      <c r="T13" s="1549">
        <f ca="1">('2220'!J476+'2220'!J477)/12</f>
        <v>126259.08333333333</v>
      </c>
      <c r="U13" s="1549">
        <f t="shared" ref="U13:AE13" si="45">T13</f>
        <v>126259.08333333333</v>
      </c>
      <c r="V13" s="1549">
        <f t="shared" si="45"/>
        <v>126259.08333333333</v>
      </c>
      <c r="W13" s="1549">
        <f t="shared" si="45"/>
        <v>126259.08333333333</v>
      </c>
      <c r="X13" s="1549">
        <f t="shared" si="45"/>
        <v>126259.08333333333</v>
      </c>
      <c r="Y13" s="1549">
        <f t="shared" si="45"/>
        <v>126259.08333333333</v>
      </c>
      <c r="Z13" s="1549">
        <f t="shared" si="45"/>
        <v>126259.08333333333</v>
      </c>
      <c r="AA13" s="1549">
        <f t="shared" si="45"/>
        <v>126259.08333333333</v>
      </c>
      <c r="AB13" s="1549">
        <f t="shared" si="45"/>
        <v>126259.08333333333</v>
      </c>
      <c r="AC13" s="1549">
        <f t="shared" si="45"/>
        <v>126259.08333333333</v>
      </c>
      <c r="AD13" s="1549">
        <f t="shared" si="45"/>
        <v>126259.08333333333</v>
      </c>
      <c r="AE13" s="1549">
        <f t="shared" si="45"/>
        <v>126259.08333333333</v>
      </c>
      <c r="AF13" s="1414">
        <f t="shared" si="29"/>
        <v>378777.25</v>
      </c>
      <c r="AG13" s="1414">
        <f t="shared" si="30"/>
        <v>378777.25</v>
      </c>
      <c r="AH13" s="1414">
        <f t="shared" si="31"/>
        <v>378777.25</v>
      </c>
      <c r="AI13" s="1414">
        <f t="shared" si="32"/>
        <v>378777.25</v>
      </c>
      <c r="AJ13" s="1414">
        <f t="shared" si="33"/>
        <v>1515109</v>
      </c>
      <c r="AK13" s="1550">
        <f>23000</f>
        <v>23000</v>
      </c>
      <c r="AL13" s="1551">
        <f>AK13</f>
        <v>23000</v>
      </c>
      <c r="AM13" s="1551">
        <f t="shared" ref="AM13:AV13" si="46">AL13</f>
        <v>23000</v>
      </c>
      <c r="AN13" s="1551">
        <f t="shared" si="46"/>
        <v>23000</v>
      </c>
      <c r="AO13" s="1551">
        <f t="shared" si="46"/>
        <v>23000</v>
      </c>
      <c r="AP13" s="1551">
        <f t="shared" si="46"/>
        <v>23000</v>
      </c>
      <c r="AQ13" s="1551">
        <f t="shared" si="46"/>
        <v>23000</v>
      </c>
      <c r="AR13" s="1551">
        <f t="shared" si="46"/>
        <v>23000</v>
      </c>
      <c r="AS13" s="1551">
        <f t="shared" si="46"/>
        <v>23000</v>
      </c>
      <c r="AT13" s="1551">
        <f t="shared" si="46"/>
        <v>23000</v>
      </c>
      <c r="AU13" s="1551">
        <f t="shared" si="46"/>
        <v>23000</v>
      </c>
      <c r="AV13" s="1551">
        <f t="shared" si="46"/>
        <v>23000</v>
      </c>
      <c r="AW13" s="1414">
        <f t="shared" si="34"/>
        <v>69000</v>
      </c>
      <c r="AX13" s="1414">
        <f t="shared" si="35"/>
        <v>69000</v>
      </c>
      <c r="AY13" s="1414">
        <f t="shared" si="36"/>
        <v>69000</v>
      </c>
      <c r="AZ13" s="1414">
        <f t="shared" si="37"/>
        <v>69000</v>
      </c>
      <c r="BA13" s="1414">
        <f t="shared" si="38"/>
        <v>276000</v>
      </c>
      <c r="BB13" s="1549"/>
      <c r="BC13" s="1549">
        <f t="shared" ref="BC13:BM13" si="47">BB13</f>
        <v>0</v>
      </c>
      <c r="BD13" s="1549">
        <f t="shared" si="47"/>
        <v>0</v>
      </c>
      <c r="BE13" s="1549">
        <f t="shared" si="47"/>
        <v>0</v>
      </c>
      <c r="BF13" s="1549">
        <f t="shared" si="47"/>
        <v>0</v>
      </c>
      <c r="BG13" s="1549">
        <f t="shared" si="47"/>
        <v>0</v>
      </c>
      <c r="BH13" s="1549">
        <f t="shared" si="47"/>
        <v>0</v>
      </c>
      <c r="BI13" s="1549">
        <f t="shared" si="47"/>
        <v>0</v>
      </c>
      <c r="BJ13" s="1549">
        <f t="shared" si="47"/>
        <v>0</v>
      </c>
      <c r="BK13" s="1549">
        <f t="shared" si="47"/>
        <v>0</v>
      </c>
      <c r="BL13" s="1549">
        <f t="shared" si="47"/>
        <v>0</v>
      </c>
      <c r="BM13" s="1549">
        <f t="shared" si="47"/>
        <v>0</v>
      </c>
      <c r="BN13" s="1414">
        <f t="shared" si="40"/>
        <v>0</v>
      </c>
      <c r="BO13" s="1414">
        <f t="shared" si="41"/>
        <v>0</v>
      </c>
      <c r="BP13" s="1414">
        <f t="shared" si="42"/>
        <v>0</v>
      </c>
      <c r="BQ13" s="1414">
        <f t="shared" si="43"/>
        <v>0</v>
      </c>
      <c r="BR13" s="1414">
        <f t="shared" si="44"/>
        <v>0</v>
      </c>
    </row>
    <row r="14" spans="1:71" ht="16.5">
      <c r="A14" s="481"/>
      <c r="B14" s="162" t="s">
        <v>1563</v>
      </c>
      <c r="C14" s="158">
        <f>T14+AK14+BB14</f>
        <v>0</v>
      </c>
      <c r="D14" s="158">
        <f t="shared" ref="D14:D24" si="48">U14+AL14+BC14</f>
        <v>0</v>
      </c>
      <c r="E14" s="158">
        <f t="shared" ref="E14:E24" si="49">V14+AM14+BD14</f>
        <v>0</v>
      </c>
      <c r="F14" s="158">
        <f t="shared" ref="F14:F24" si="50">W14+AN14+BE14</f>
        <v>0</v>
      </c>
      <c r="G14" s="158">
        <f t="shared" ref="G14:G24" si="51">X14+AO14+BF14</f>
        <v>0</v>
      </c>
      <c r="H14" s="158">
        <f t="shared" ref="H14:H24" si="52">Y14+AP14+BG14</f>
        <v>0</v>
      </c>
      <c r="I14" s="158">
        <f t="shared" ref="I14:I24" si="53">Z14+AQ14+BH14</f>
        <v>0</v>
      </c>
      <c r="J14" s="158">
        <f t="shared" ref="J14:J24" si="54">AA14+AR14+BI14</f>
        <v>0</v>
      </c>
      <c r="K14" s="158">
        <f t="shared" ref="K14:K24" si="55">AB14+AS14+BJ14</f>
        <v>0</v>
      </c>
      <c r="L14" s="158">
        <f t="shared" ref="L14:L24" si="56">AC14+AT14+BK14</f>
        <v>0</v>
      </c>
      <c r="M14" s="158">
        <f t="shared" ref="M14:M24" si="57">AD14+AU14+BL14</f>
        <v>0</v>
      </c>
      <c r="N14" s="158">
        <f t="shared" ref="N14:N24" si="58">AE14+AV14+BM14</f>
        <v>0</v>
      </c>
      <c r="O14" s="1548">
        <f>SUM(C14:E14)</f>
        <v>0</v>
      </c>
      <c r="P14" s="1548">
        <f>SUM(F14:H14)</f>
        <v>0</v>
      </c>
      <c r="Q14" s="1548">
        <f>SUM(I14:K14)</f>
        <v>0</v>
      </c>
      <c r="R14" s="1548">
        <f>SUM(L14:N14)</f>
        <v>0</v>
      </c>
      <c r="S14" s="1548">
        <f>O14+P14+Q14+R14</f>
        <v>0</v>
      </c>
      <c r="T14" s="1549">
        <v>0</v>
      </c>
      <c r="U14" s="1549">
        <f t="shared" ref="U14:AE14" si="59">T14</f>
        <v>0</v>
      </c>
      <c r="V14" s="1549">
        <f t="shared" si="59"/>
        <v>0</v>
      </c>
      <c r="W14" s="1549">
        <f t="shared" si="59"/>
        <v>0</v>
      </c>
      <c r="X14" s="1549">
        <f t="shared" si="59"/>
        <v>0</v>
      </c>
      <c r="Y14" s="1549">
        <f t="shared" si="59"/>
        <v>0</v>
      </c>
      <c r="Z14" s="1549">
        <f t="shared" si="59"/>
        <v>0</v>
      </c>
      <c r="AA14" s="1549">
        <f t="shared" si="59"/>
        <v>0</v>
      </c>
      <c r="AB14" s="1549">
        <f t="shared" si="59"/>
        <v>0</v>
      </c>
      <c r="AC14" s="1549">
        <f t="shared" si="59"/>
        <v>0</v>
      </c>
      <c r="AD14" s="1549">
        <f t="shared" si="59"/>
        <v>0</v>
      </c>
      <c r="AE14" s="1549">
        <f t="shared" si="59"/>
        <v>0</v>
      </c>
      <c r="AF14" s="1414">
        <f t="shared" si="29"/>
        <v>0</v>
      </c>
      <c r="AG14" s="1414">
        <f t="shared" si="30"/>
        <v>0</v>
      </c>
      <c r="AH14" s="1414">
        <f t="shared" si="31"/>
        <v>0</v>
      </c>
      <c r="AI14" s="1414">
        <f t="shared" si="32"/>
        <v>0</v>
      </c>
      <c r="AJ14" s="1414">
        <f t="shared" si="33"/>
        <v>0</v>
      </c>
      <c r="AK14" s="1550"/>
      <c r="AL14" s="1554"/>
      <c r="AM14" s="1551"/>
      <c r="AN14" s="1551"/>
      <c r="AO14" s="1551"/>
      <c r="AP14" s="1551"/>
      <c r="AQ14" s="1551"/>
      <c r="AR14" s="1551"/>
      <c r="AS14" s="1551"/>
      <c r="AT14" s="1551"/>
      <c r="AU14" s="1551"/>
      <c r="AV14" s="1551"/>
      <c r="AW14" s="1414">
        <f t="shared" si="34"/>
        <v>0</v>
      </c>
      <c r="AX14" s="1414">
        <f t="shared" si="35"/>
        <v>0</v>
      </c>
      <c r="AY14" s="1414">
        <f t="shared" si="36"/>
        <v>0</v>
      </c>
      <c r="AZ14" s="1414">
        <f t="shared" si="37"/>
        <v>0</v>
      </c>
      <c r="BA14" s="1414">
        <f t="shared" si="38"/>
        <v>0</v>
      </c>
      <c r="BB14" s="1549"/>
      <c r="BC14" s="1549">
        <f t="shared" ref="BC14:BM14" si="60">BB14</f>
        <v>0</v>
      </c>
      <c r="BD14" s="1549">
        <f t="shared" si="60"/>
        <v>0</v>
      </c>
      <c r="BE14" s="1549">
        <f t="shared" si="60"/>
        <v>0</v>
      </c>
      <c r="BF14" s="1549">
        <f t="shared" si="60"/>
        <v>0</v>
      </c>
      <c r="BG14" s="1549">
        <f t="shared" si="60"/>
        <v>0</v>
      </c>
      <c r="BH14" s="1549">
        <f t="shared" si="60"/>
        <v>0</v>
      </c>
      <c r="BI14" s="1549">
        <f t="shared" si="60"/>
        <v>0</v>
      </c>
      <c r="BJ14" s="1549">
        <f t="shared" si="60"/>
        <v>0</v>
      </c>
      <c r="BK14" s="1549">
        <f t="shared" si="60"/>
        <v>0</v>
      </c>
      <c r="BL14" s="1549">
        <f t="shared" si="60"/>
        <v>0</v>
      </c>
      <c r="BM14" s="1549">
        <f t="shared" si="60"/>
        <v>0</v>
      </c>
      <c r="BN14" s="1414">
        <f t="shared" si="40"/>
        <v>0</v>
      </c>
      <c r="BO14" s="1414">
        <f t="shared" si="41"/>
        <v>0</v>
      </c>
      <c r="BP14" s="1414">
        <f t="shared" si="42"/>
        <v>0</v>
      </c>
      <c r="BQ14" s="1414">
        <f t="shared" si="43"/>
        <v>0</v>
      </c>
      <c r="BR14" s="1414">
        <f t="shared" si="44"/>
        <v>0</v>
      </c>
    </row>
    <row r="15" spans="1:71" s="1217" customFormat="1" ht="16.5">
      <c r="A15" s="1214"/>
      <c r="B15" s="1215" t="s">
        <v>1564</v>
      </c>
      <c r="C15" s="1216">
        <f t="shared" ref="C15:C24" si="61">T15+AK15+BB15</f>
        <v>0</v>
      </c>
      <c r="D15" s="1216">
        <f t="shared" si="48"/>
        <v>0</v>
      </c>
      <c r="E15" s="1216">
        <f t="shared" si="49"/>
        <v>0</v>
      </c>
      <c r="F15" s="1216">
        <f t="shared" si="50"/>
        <v>0</v>
      </c>
      <c r="G15" s="1216">
        <f t="shared" si="51"/>
        <v>0</v>
      </c>
      <c r="H15" s="1216">
        <f t="shared" si="52"/>
        <v>0</v>
      </c>
      <c r="I15" s="1216">
        <f t="shared" si="53"/>
        <v>0</v>
      </c>
      <c r="J15" s="1216">
        <f t="shared" si="54"/>
        <v>0</v>
      </c>
      <c r="K15" s="1216">
        <f t="shared" si="55"/>
        <v>0</v>
      </c>
      <c r="L15" s="1216">
        <f t="shared" si="56"/>
        <v>0</v>
      </c>
      <c r="M15" s="1216">
        <f t="shared" si="57"/>
        <v>0</v>
      </c>
      <c r="N15" s="1216">
        <f t="shared" si="58"/>
        <v>0</v>
      </c>
      <c r="O15" s="1555">
        <f t="shared" ref="O15:O24" si="62">SUM(C15:E15)</f>
        <v>0</v>
      </c>
      <c r="P15" s="1555">
        <f t="shared" ref="P15:P24" si="63">SUM(F15:H15)</f>
        <v>0</v>
      </c>
      <c r="Q15" s="1555">
        <f t="shared" ref="Q15:Q24" si="64">SUM(I15:K15)</f>
        <v>0</v>
      </c>
      <c r="R15" s="1555">
        <f t="shared" ref="R15:R24" si="65">SUM(L15:N15)</f>
        <v>0</v>
      </c>
      <c r="S15" s="1555">
        <f t="shared" ref="S15:S24" si="66">O15+P15+Q15+R15</f>
        <v>0</v>
      </c>
      <c r="T15" s="1556">
        <v>0</v>
      </c>
      <c r="U15" s="1556">
        <f t="shared" ref="U15:AE15" si="67">T15</f>
        <v>0</v>
      </c>
      <c r="V15" s="1556">
        <f t="shared" si="67"/>
        <v>0</v>
      </c>
      <c r="W15" s="1556">
        <f t="shared" si="67"/>
        <v>0</v>
      </c>
      <c r="X15" s="1556">
        <f t="shared" si="67"/>
        <v>0</v>
      </c>
      <c r="Y15" s="1556">
        <f t="shared" si="67"/>
        <v>0</v>
      </c>
      <c r="Z15" s="1556">
        <f t="shared" si="67"/>
        <v>0</v>
      </c>
      <c r="AA15" s="1556">
        <f t="shared" si="67"/>
        <v>0</v>
      </c>
      <c r="AB15" s="1556">
        <f t="shared" si="67"/>
        <v>0</v>
      </c>
      <c r="AC15" s="1556">
        <f t="shared" si="67"/>
        <v>0</v>
      </c>
      <c r="AD15" s="1556">
        <f t="shared" si="67"/>
        <v>0</v>
      </c>
      <c r="AE15" s="1556">
        <f t="shared" si="67"/>
        <v>0</v>
      </c>
      <c r="AF15" s="1544">
        <f t="shared" si="29"/>
        <v>0</v>
      </c>
      <c r="AG15" s="1544">
        <f t="shared" si="30"/>
        <v>0</v>
      </c>
      <c r="AH15" s="1544">
        <f t="shared" si="31"/>
        <v>0</v>
      </c>
      <c r="AI15" s="1544">
        <f t="shared" si="32"/>
        <v>0</v>
      </c>
      <c r="AJ15" s="1544">
        <f t="shared" si="33"/>
        <v>0</v>
      </c>
      <c r="AK15" s="1550"/>
      <c r="AL15" s="1554"/>
      <c r="AM15" s="1551"/>
      <c r="AN15" s="1551"/>
      <c r="AO15" s="1551"/>
      <c r="AP15" s="1551"/>
      <c r="AQ15" s="1551"/>
      <c r="AR15" s="1551"/>
      <c r="AS15" s="1551"/>
      <c r="AT15" s="1551"/>
      <c r="AU15" s="1551"/>
      <c r="AV15" s="1551"/>
      <c r="AW15" s="1544">
        <f t="shared" si="34"/>
        <v>0</v>
      </c>
      <c r="AX15" s="1544">
        <f t="shared" si="35"/>
        <v>0</v>
      </c>
      <c r="AY15" s="1544">
        <f t="shared" si="36"/>
        <v>0</v>
      </c>
      <c r="AZ15" s="1544">
        <f t="shared" si="37"/>
        <v>0</v>
      </c>
      <c r="BA15" s="1544">
        <f t="shared" si="38"/>
        <v>0</v>
      </c>
      <c r="BB15" s="1556"/>
      <c r="BC15" s="1556">
        <f t="shared" ref="BC15:BM15" si="68">BB15</f>
        <v>0</v>
      </c>
      <c r="BD15" s="1556">
        <f t="shared" si="68"/>
        <v>0</v>
      </c>
      <c r="BE15" s="1556">
        <f t="shared" si="68"/>
        <v>0</v>
      </c>
      <c r="BF15" s="1556">
        <f t="shared" si="68"/>
        <v>0</v>
      </c>
      <c r="BG15" s="1556">
        <f t="shared" si="68"/>
        <v>0</v>
      </c>
      <c r="BH15" s="1556">
        <f t="shared" si="68"/>
        <v>0</v>
      </c>
      <c r="BI15" s="1556">
        <f t="shared" si="68"/>
        <v>0</v>
      </c>
      <c r="BJ15" s="1556">
        <f t="shared" si="68"/>
        <v>0</v>
      </c>
      <c r="BK15" s="1556">
        <f t="shared" si="68"/>
        <v>0</v>
      </c>
      <c r="BL15" s="1556">
        <f t="shared" si="68"/>
        <v>0</v>
      </c>
      <c r="BM15" s="1556">
        <f t="shared" si="68"/>
        <v>0</v>
      </c>
      <c r="BN15" s="1544">
        <f t="shared" si="40"/>
        <v>0</v>
      </c>
      <c r="BO15" s="1544">
        <f t="shared" si="41"/>
        <v>0</v>
      </c>
      <c r="BP15" s="1544">
        <f t="shared" si="42"/>
        <v>0</v>
      </c>
      <c r="BQ15" s="1544">
        <f t="shared" si="43"/>
        <v>0</v>
      </c>
      <c r="BR15" s="1544">
        <f t="shared" si="44"/>
        <v>0</v>
      </c>
    </row>
    <row r="16" spans="1:71" ht="16.5">
      <c r="A16" s="481"/>
      <c r="B16" s="162" t="s">
        <v>1565</v>
      </c>
      <c r="C16" s="158">
        <f t="shared" si="61"/>
        <v>13610.916666666666</v>
      </c>
      <c r="D16" s="158">
        <f t="shared" si="48"/>
        <v>13610.916666666666</v>
      </c>
      <c r="E16" s="158">
        <f t="shared" si="49"/>
        <v>13610.916666666666</v>
      </c>
      <c r="F16" s="158">
        <f t="shared" si="50"/>
        <v>13610.916666666666</v>
      </c>
      <c r="G16" s="158">
        <f t="shared" si="51"/>
        <v>13610.916666666666</v>
      </c>
      <c r="H16" s="158">
        <f t="shared" si="52"/>
        <v>13610.916666666666</v>
      </c>
      <c r="I16" s="158">
        <f t="shared" si="53"/>
        <v>13610.916666666666</v>
      </c>
      <c r="J16" s="158">
        <f t="shared" si="54"/>
        <v>13610.916666666666</v>
      </c>
      <c r="K16" s="158">
        <f t="shared" si="55"/>
        <v>13610.916666666666</v>
      </c>
      <c r="L16" s="158">
        <f t="shared" si="56"/>
        <v>13610.916666666666</v>
      </c>
      <c r="M16" s="158">
        <f t="shared" si="57"/>
        <v>13610.916666666666</v>
      </c>
      <c r="N16" s="158">
        <f t="shared" si="58"/>
        <v>13610.916666666666</v>
      </c>
      <c r="O16" s="1548">
        <f t="shared" si="62"/>
        <v>40832.75</v>
      </c>
      <c r="P16" s="1548">
        <f t="shared" si="63"/>
        <v>40832.75</v>
      </c>
      <c r="Q16" s="1548">
        <f t="shared" si="64"/>
        <v>40832.75</v>
      </c>
      <c r="R16" s="1548">
        <f t="shared" si="65"/>
        <v>40832.75</v>
      </c>
      <c r="S16" s="1548">
        <f t="shared" si="66"/>
        <v>163331</v>
      </c>
      <c r="T16" s="1549">
        <f ca="1">'2220'!J478/12</f>
        <v>13610.916666666666</v>
      </c>
      <c r="U16" s="1549">
        <f t="shared" ref="U16:AE16" si="69">T16</f>
        <v>13610.916666666666</v>
      </c>
      <c r="V16" s="1549">
        <f t="shared" si="69"/>
        <v>13610.916666666666</v>
      </c>
      <c r="W16" s="1549">
        <f t="shared" si="69"/>
        <v>13610.916666666666</v>
      </c>
      <c r="X16" s="1549">
        <f t="shared" si="69"/>
        <v>13610.916666666666</v>
      </c>
      <c r="Y16" s="1549">
        <f t="shared" si="69"/>
        <v>13610.916666666666</v>
      </c>
      <c r="Z16" s="1549">
        <f t="shared" si="69"/>
        <v>13610.916666666666</v>
      </c>
      <c r="AA16" s="1549">
        <f t="shared" si="69"/>
        <v>13610.916666666666</v>
      </c>
      <c r="AB16" s="1549">
        <f t="shared" si="69"/>
        <v>13610.916666666666</v>
      </c>
      <c r="AC16" s="1549">
        <f t="shared" si="69"/>
        <v>13610.916666666666</v>
      </c>
      <c r="AD16" s="1549">
        <f t="shared" si="69"/>
        <v>13610.916666666666</v>
      </c>
      <c r="AE16" s="1549">
        <f t="shared" si="69"/>
        <v>13610.916666666666</v>
      </c>
      <c r="AF16" s="1414">
        <f t="shared" si="29"/>
        <v>40832.75</v>
      </c>
      <c r="AG16" s="1414">
        <f t="shared" si="30"/>
        <v>40832.75</v>
      </c>
      <c r="AH16" s="1414">
        <f t="shared" si="31"/>
        <v>40832.75</v>
      </c>
      <c r="AI16" s="1414">
        <f t="shared" si="32"/>
        <v>40832.75</v>
      </c>
      <c r="AJ16" s="1414">
        <f t="shared" si="33"/>
        <v>163331</v>
      </c>
      <c r="AK16" s="1550"/>
      <c r="AL16" s="1554"/>
      <c r="AM16" s="1551"/>
      <c r="AN16" s="1551"/>
      <c r="AO16" s="1551"/>
      <c r="AP16" s="1551"/>
      <c r="AQ16" s="1551"/>
      <c r="AR16" s="1551"/>
      <c r="AS16" s="1551"/>
      <c r="AT16" s="1551"/>
      <c r="AU16" s="1551"/>
      <c r="AV16" s="1551"/>
      <c r="AW16" s="1414">
        <f t="shared" si="34"/>
        <v>0</v>
      </c>
      <c r="AX16" s="1414">
        <f t="shared" si="35"/>
        <v>0</v>
      </c>
      <c r="AY16" s="1414">
        <f t="shared" si="36"/>
        <v>0</v>
      </c>
      <c r="AZ16" s="1414">
        <f t="shared" si="37"/>
        <v>0</v>
      </c>
      <c r="BA16" s="1414">
        <f t="shared" si="38"/>
        <v>0</v>
      </c>
      <c r="BB16" s="1549"/>
      <c r="BC16" s="1549">
        <f t="shared" ref="BC16:BM16" si="70">BB16</f>
        <v>0</v>
      </c>
      <c r="BD16" s="1549">
        <f t="shared" si="70"/>
        <v>0</v>
      </c>
      <c r="BE16" s="1549">
        <f t="shared" si="70"/>
        <v>0</v>
      </c>
      <c r="BF16" s="1549">
        <f t="shared" si="70"/>
        <v>0</v>
      </c>
      <c r="BG16" s="1549">
        <f t="shared" si="70"/>
        <v>0</v>
      </c>
      <c r="BH16" s="1549">
        <f t="shared" si="70"/>
        <v>0</v>
      </c>
      <c r="BI16" s="1549">
        <f t="shared" si="70"/>
        <v>0</v>
      </c>
      <c r="BJ16" s="1549">
        <f t="shared" si="70"/>
        <v>0</v>
      </c>
      <c r="BK16" s="1549">
        <f t="shared" si="70"/>
        <v>0</v>
      </c>
      <c r="BL16" s="1549">
        <f t="shared" si="70"/>
        <v>0</v>
      </c>
      <c r="BM16" s="1549">
        <f t="shared" si="70"/>
        <v>0</v>
      </c>
      <c r="BN16" s="1414">
        <f t="shared" si="40"/>
        <v>0</v>
      </c>
      <c r="BO16" s="1414">
        <f t="shared" si="41"/>
        <v>0</v>
      </c>
      <c r="BP16" s="1414">
        <f t="shared" si="42"/>
        <v>0</v>
      </c>
      <c r="BQ16" s="1414">
        <f t="shared" si="43"/>
        <v>0</v>
      </c>
      <c r="BR16" s="1414">
        <f t="shared" si="44"/>
        <v>0</v>
      </c>
    </row>
    <row r="17" spans="1:72" ht="16.5">
      <c r="A17" s="481"/>
      <c r="B17" s="163" t="s">
        <v>1566</v>
      </c>
      <c r="C17" s="158">
        <f t="shared" si="61"/>
        <v>0</v>
      </c>
      <c r="D17" s="158">
        <f t="shared" si="48"/>
        <v>0</v>
      </c>
      <c r="E17" s="158">
        <f t="shared" si="49"/>
        <v>0</v>
      </c>
      <c r="F17" s="158">
        <f t="shared" si="50"/>
        <v>0</v>
      </c>
      <c r="G17" s="158">
        <f t="shared" si="51"/>
        <v>0</v>
      </c>
      <c r="H17" s="158">
        <f t="shared" si="52"/>
        <v>0</v>
      </c>
      <c r="I17" s="158">
        <f t="shared" si="53"/>
        <v>0</v>
      </c>
      <c r="J17" s="158">
        <f t="shared" si="54"/>
        <v>0</v>
      </c>
      <c r="K17" s="158">
        <f t="shared" si="55"/>
        <v>0</v>
      </c>
      <c r="L17" s="158">
        <f t="shared" si="56"/>
        <v>0</v>
      </c>
      <c r="M17" s="158">
        <f t="shared" si="57"/>
        <v>0</v>
      </c>
      <c r="N17" s="158">
        <f t="shared" si="58"/>
        <v>0</v>
      </c>
      <c r="O17" s="1548">
        <f t="shared" si="62"/>
        <v>0</v>
      </c>
      <c r="P17" s="1548">
        <f t="shared" si="63"/>
        <v>0</v>
      </c>
      <c r="Q17" s="1548">
        <f t="shared" si="64"/>
        <v>0</v>
      </c>
      <c r="R17" s="1548">
        <f t="shared" si="65"/>
        <v>0</v>
      </c>
      <c r="S17" s="1548">
        <f t="shared" si="66"/>
        <v>0</v>
      </c>
      <c r="T17" s="1549"/>
      <c r="U17" s="1549">
        <f t="shared" ref="U17:AE17" si="71">T17</f>
        <v>0</v>
      </c>
      <c r="V17" s="1549">
        <f t="shared" si="71"/>
        <v>0</v>
      </c>
      <c r="W17" s="1549">
        <f t="shared" si="71"/>
        <v>0</v>
      </c>
      <c r="X17" s="1549">
        <f t="shared" si="71"/>
        <v>0</v>
      </c>
      <c r="Y17" s="1549">
        <f t="shared" si="71"/>
        <v>0</v>
      </c>
      <c r="Z17" s="1549">
        <f t="shared" si="71"/>
        <v>0</v>
      </c>
      <c r="AA17" s="1549">
        <f t="shared" si="71"/>
        <v>0</v>
      </c>
      <c r="AB17" s="1549">
        <f t="shared" si="71"/>
        <v>0</v>
      </c>
      <c r="AC17" s="1549">
        <f t="shared" si="71"/>
        <v>0</v>
      </c>
      <c r="AD17" s="1549">
        <f t="shared" si="71"/>
        <v>0</v>
      </c>
      <c r="AE17" s="1549">
        <f t="shared" si="71"/>
        <v>0</v>
      </c>
      <c r="AF17" s="1414">
        <f t="shared" si="29"/>
        <v>0</v>
      </c>
      <c r="AG17" s="1414">
        <f t="shared" si="30"/>
        <v>0</v>
      </c>
      <c r="AH17" s="1414">
        <f t="shared" si="31"/>
        <v>0</v>
      </c>
      <c r="AI17" s="1414">
        <f t="shared" si="32"/>
        <v>0</v>
      </c>
      <c r="AJ17" s="1414">
        <f t="shared" si="33"/>
        <v>0</v>
      </c>
      <c r="AK17" s="1550"/>
      <c r="AL17" s="1554"/>
      <c r="AM17" s="1554"/>
      <c r="AN17" s="1554"/>
      <c r="AO17" s="1554"/>
      <c r="AP17" s="1554"/>
      <c r="AQ17" s="1554"/>
      <c r="AR17" s="1554"/>
      <c r="AS17" s="1554"/>
      <c r="AT17" s="1554"/>
      <c r="AU17" s="1554"/>
      <c r="AV17" s="1554"/>
      <c r="AW17" s="1414">
        <f t="shared" si="34"/>
        <v>0</v>
      </c>
      <c r="AX17" s="1414">
        <f t="shared" si="35"/>
        <v>0</v>
      </c>
      <c r="AY17" s="1414">
        <f t="shared" si="36"/>
        <v>0</v>
      </c>
      <c r="AZ17" s="1414">
        <f t="shared" si="37"/>
        <v>0</v>
      </c>
      <c r="BA17" s="1414">
        <f t="shared" si="38"/>
        <v>0</v>
      </c>
      <c r="BB17" s="1549"/>
      <c r="BC17" s="1549">
        <f t="shared" ref="BC17:BM17" si="72">BB17</f>
        <v>0</v>
      </c>
      <c r="BD17" s="1549">
        <f t="shared" si="72"/>
        <v>0</v>
      </c>
      <c r="BE17" s="1549">
        <f t="shared" si="72"/>
        <v>0</v>
      </c>
      <c r="BF17" s="1549">
        <f t="shared" si="72"/>
        <v>0</v>
      </c>
      <c r="BG17" s="1549">
        <f t="shared" si="72"/>
        <v>0</v>
      </c>
      <c r="BH17" s="1549">
        <f t="shared" si="72"/>
        <v>0</v>
      </c>
      <c r="BI17" s="1549">
        <f t="shared" si="72"/>
        <v>0</v>
      </c>
      <c r="BJ17" s="1549">
        <f t="shared" si="72"/>
        <v>0</v>
      </c>
      <c r="BK17" s="1549">
        <f t="shared" si="72"/>
        <v>0</v>
      </c>
      <c r="BL17" s="1549">
        <f t="shared" si="72"/>
        <v>0</v>
      </c>
      <c r="BM17" s="1549">
        <f t="shared" si="72"/>
        <v>0</v>
      </c>
      <c r="BN17" s="1414">
        <f t="shared" si="40"/>
        <v>0</v>
      </c>
      <c r="BO17" s="1414">
        <f t="shared" si="41"/>
        <v>0</v>
      </c>
      <c r="BP17" s="1414">
        <f t="shared" si="42"/>
        <v>0</v>
      </c>
      <c r="BQ17" s="1414">
        <f t="shared" si="43"/>
        <v>0</v>
      </c>
      <c r="BR17" s="1414">
        <f t="shared" si="44"/>
        <v>0</v>
      </c>
    </row>
    <row r="18" spans="1:72" ht="16.5">
      <c r="A18" s="481"/>
      <c r="B18" s="163" t="s">
        <v>1567</v>
      </c>
      <c r="C18" s="158">
        <f t="shared" si="61"/>
        <v>82860.5</v>
      </c>
      <c r="D18" s="158">
        <f t="shared" si="48"/>
        <v>82860.5</v>
      </c>
      <c r="E18" s="158">
        <f t="shared" si="49"/>
        <v>82860.5</v>
      </c>
      <c r="F18" s="158">
        <f t="shared" si="50"/>
        <v>82860.5</v>
      </c>
      <c r="G18" s="158">
        <f t="shared" si="51"/>
        <v>82860.5</v>
      </c>
      <c r="H18" s="158">
        <f t="shared" si="52"/>
        <v>82860.5</v>
      </c>
      <c r="I18" s="158">
        <f t="shared" si="53"/>
        <v>82860.5</v>
      </c>
      <c r="J18" s="158">
        <f t="shared" si="54"/>
        <v>82860.5</v>
      </c>
      <c r="K18" s="158">
        <f t="shared" si="55"/>
        <v>82860.5</v>
      </c>
      <c r="L18" s="158">
        <f t="shared" si="56"/>
        <v>82860.5</v>
      </c>
      <c r="M18" s="158">
        <f t="shared" si="57"/>
        <v>82860.5</v>
      </c>
      <c r="N18" s="158">
        <f t="shared" si="58"/>
        <v>82860.5</v>
      </c>
      <c r="O18" s="1548">
        <f t="shared" si="62"/>
        <v>248581.5</v>
      </c>
      <c r="P18" s="1548">
        <f t="shared" si="63"/>
        <v>248581.5</v>
      </c>
      <c r="Q18" s="1548">
        <f t="shared" si="64"/>
        <v>248581.5</v>
      </c>
      <c r="R18" s="1548">
        <f t="shared" si="65"/>
        <v>248581.5</v>
      </c>
      <c r="S18" s="1548">
        <f t="shared" si="66"/>
        <v>994326</v>
      </c>
      <c r="T18" s="1549">
        <f ca="1">'2230'!G3</f>
        <v>82860.5</v>
      </c>
      <c r="U18" s="1549">
        <f t="shared" ref="U18:AE18" si="73">T18</f>
        <v>82860.5</v>
      </c>
      <c r="V18" s="1549">
        <f t="shared" si="73"/>
        <v>82860.5</v>
      </c>
      <c r="W18" s="1549">
        <f t="shared" si="73"/>
        <v>82860.5</v>
      </c>
      <c r="X18" s="1549">
        <f t="shared" si="73"/>
        <v>82860.5</v>
      </c>
      <c r="Y18" s="1549">
        <f t="shared" si="73"/>
        <v>82860.5</v>
      </c>
      <c r="Z18" s="1549">
        <f t="shared" si="73"/>
        <v>82860.5</v>
      </c>
      <c r="AA18" s="1549">
        <f t="shared" si="73"/>
        <v>82860.5</v>
      </c>
      <c r="AB18" s="1549">
        <f t="shared" si="73"/>
        <v>82860.5</v>
      </c>
      <c r="AC18" s="1549">
        <f t="shared" si="73"/>
        <v>82860.5</v>
      </c>
      <c r="AD18" s="1549">
        <f t="shared" si="73"/>
        <v>82860.5</v>
      </c>
      <c r="AE18" s="1549">
        <f t="shared" si="73"/>
        <v>82860.5</v>
      </c>
      <c r="AF18" s="1414">
        <f t="shared" si="29"/>
        <v>248581.5</v>
      </c>
      <c r="AG18" s="1414">
        <f t="shared" si="30"/>
        <v>248581.5</v>
      </c>
      <c r="AH18" s="1414">
        <f t="shared" si="31"/>
        <v>248581.5</v>
      </c>
      <c r="AI18" s="1414">
        <f t="shared" si="32"/>
        <v>248581.5</v>
      </c>
      <c r="AJ18" s="1414">
        <f t="shared" si="33"/>
        <v>994326</v>
      </c>
      <c r="AK18" s="1550"/>
      <c r="AL18" s="1550"/>
      <c r="AM18" s="1550"/>
      <c r="AN18" s="1550"/>
      <c r="AO18" s="1550"/>
      <c r="AP18" s="1550"/>
      <c r="AQ18" s="1550"/>
      <c r="AR18" s="1550"/>
      <c r="AS18" s="1550"/>
      <c r="AT18" s="1550"/>
      <c r="AU18" s="1550"/>
      <c r="AV18" s="1550"/>
      <c r="AW18" s="1414">
        <f t="shared" si="34"/>
        <v>0</v>
      </c>
      <c r="AX18" s="1414">
        <f t="shared" si="35"/>
        <v>0</v>
      </c>
      <c r="AY18" s="1414">
        <f t="shared" si="36"/>
        <v>0</v>
      </c>
      <c r="AZ18" s="1414">
        <f t="shared" si="37"/>
        <v>0</v>
      </c>
      <c r="BA18" s="1414">
        <f t="shared" si="38"/>
        <v>0</v>
      </c>
      <c r="BB18" s="1549"/>
      <c r="BC18" s="1549">
        <f t="shared" ref="BC18:BM18" si="74">BB18</f>
        <v>0</v>
      </c>
      <c r="BD18" s="1549">
        <f t="shared" si="74"/>
        <v>0</v>
      </c>
      <c r="BE18" s="1549">
        <f t="shared" si="74"/>
        <v>0</v>
      </c>
      <c r="BF18" s="1549">
        <f t="shared" si="74"/>
        <v>0</v>
      </c>
      <c r="BG18" s="1549">
        <f t="shared" si="74"/>
        <v>0</v>
      </c>
      <c r="BH18" s="1549">
        <f t="shared" si="74"/>
        <v>0</v>
      </c>
      <c r="BI18" s="1549">
        <f t="shared" si="74"/>
        <v>0</v>
      </c>
      <c r="BJ18" s="1549">
        <f t="shared" si="74"/>
        <v>0</v>
      </c>
      <c r="BK18" s="1549">
        <f t="shared" si="74"/>
        <v>0</v>
      </c>
      <c r="BL18" s="1549">
        <f t="shared" si="74"/>
        <v>0</v>
      </c>
      <c r="BM18" s="1549">
        <f t="shared" si="74"/>
        <v>0</v>
      </c>
      <c r="BN18" s="1414">
        <f t="shared" si="40"/>
        <v>0</v>
      </c>
      <c r="BO18" s="1414">
        <f t="shared" si="41"/>
        <v>0</v>
      </c>
      <c r="BP18" s="1414">
        <f t="shared" si="42"/>
        <v>0</v>
      </c>
      <c r="BQ18" s="1414">
        <f t="shared" si="43"/>
        <v>0</v>
      </c>
      <c r="BR18" s="1414">
        <f t="shared" si="44"/>
        <v>0</v>
      </c>
    </row>
    <row r="19" spans="1:72" ht="16.5">
      <c r="A19" s="481"/>
      <c r="B19" s="157" t="s">
        <v>1568</v>
      </c>
      <c r="C19" s="158">
        <f t="shared" si="61"/>
        <v>21750</v>
      </c>
      <c r="D19" s="158">
        <f t="shared" si="48"/>
        <v>74225</v>
      </c>
      <c r="E19" s="158">
        <f t="shared" si="49"/>
        <v>53815</v>
      </c>
      <c r="F19" s="158">
        <f t="shared" si="50"/>
        <v>13921</v>
      </c>
      <c r="G19" s="158">
        <f t="shared" si="51"/>
        <v>84554</v>
      </c>
      <c r="H19" s="158">
        <f t="shared" si="52"/>
        <v>14073</v>
      </c>
      <c r="I19" s="158">
        <f t="shared" si="53"/>
        <v>28531</v>
      </c>
      <c r="J19" s="158">
        <f t="shared" si="54"/>
        <v>70729</v>
      </c>
      <c r="K19" s="158">
        <f t="shared" si="55"/>
        <v>55818</v>
      </c>
      <c r="L19" s="158">
        <f t="shared" si="56"/>
        <v>46009</v>
      </c>
      <c r="M19" s="158">
        <f t="shared" si="57"/>
        <v>31460</v>
      </c>
      <c r="N19" s="158">
        <f t="shared" si="58"/>
        <v>27500</v>
      </c>
      <c r="O19" s="1548">
        <f t="shared" si="62"/>
        <v>149790</v>
      </c>
      <c r="P19" s="1548">
        <f t="shared" si="63"/>
        <v>112548</v>
      </c>
      <c r="Q19" s="1548">
        <f t="shared" si="64"/>
        <v>155078</v>
      </c>
      <c r="R19" s="1548">
        <f t="shared" si="65"/>
        <v>104969</v>
      </c>
      <c r="S19" s="1548">
        <f t="shared" si="66"/>
        <v>522385</v>
      </c>
      <c r="T19" s="1549">
        <f ca="1">'2210'!D5+'2210'!D86</f>
        <v>19250</v>
      </c>
      <c r="U19" s="1549">
        <f ca="1">'2210'!E5+'2210'!E86</f>
        <v>71725</v>
      </c>
      <c r="V19" s="1549">
        <f ca="1">'2210'!F5+'2210'!F86</f>
        <v>51315</v>
      </c>
      <c r="W19" s="1549">
        <f ca="1">'2210'!G5+'2210'!G86</f>
        <v>11421</v>
      </c>
      <c r="X19" s="1549">
        <f ca="1">'2210'!H5+'2210'!H86</f>
        <v>82054</v>
      </c>
      <c r="Y19" s="1549">
        <f ca="1">'2210'!I5+'2210'!I86</f>
        <v>11573</v>
      </c>
      <c r="Z19" s="1549">
        <f ca="1">'2210'!J5+'2210'!J86</f>
        <v>26031</v>
      </c>
      <c r="AA19" s="1549">
        <f ca="1">'2210'!K5+'2210'!K86</f>
        <v>68229</v>
      </c>
      <c r="AB19" s="1549">
        <f ca="1">'2210'!L5+'2210'!L86</f>
        <v>53318</v>
      </c>
      <c r="AC19" s="1549">
        <f ca="1">'2210'!M5+'2210'!M86</f>
        <v>43509</v>
      </c>
      <c r="AD19" s="1549">
        <f ca="1">'2210'!N5+'2210'!N86</f>
        <v>28960</v>
      </c>
      <c r="AE19" s="1549">
        <f ca="1">'2210'!O5+'2210'!O86</f>
        <v>25000</v>
      </c>
      <c r="AF19" s="1414">
        <f t="shared" si="29"/>
        <v>142290</v>
      </c>
      <c r="AG19" s="1414">
        <f t="shared" si="30"/>
        <v>105048</v>
      </c>
      <c r="AH19" s="1414">
        <f t="shared" si="31"/>
        <v>147578</v>
      </c>
      <c r="AI19" s="1414">
        <f t="shared" si="32"/>
        <v>97469</v>
      </c>
      <c r="AJ19" s="1414">
        <f t="shared" si="33"/>
        <v>492385</v>
      </c>
      <c r="AK19" s="1550">
        <f>2500</f>
        <v>2500</v>
      </c>
      <c r="AL19" s="1551">
        <f>AK19</f>
        <v>2500</v>
      </c>
      <c r="AM19" s="1551">
        <f t="shared" ref="AM19:AV19" si="75">AL19</f>
        <v>2500</v>
      </c>
      <c r="AN19" s="1551">
        <f t="shared" si="75"/>
        <v>2500</v>
      </c>
      <c r="AO19" s="1551">
        <f t="shared" si="75"/>
        <v>2500</v>
      </c>
      <c r="AP19" s="1551">
        <f t="shared" si="75"/>
        <v>2500</v>
      </c>
      <c r="AQ19" s="1551">
        <f t="shared" si="75"/>
        <v>2500</v>
      </c>
      <c r="AR19" s="1551">
        <f t="shared" si="75"/>
        <v>2500</v>
      </c>
      <c r="AS19" s="1551">
        <f t="shared" si="75"/>
        <v>2500</v>
      </c>
      <c r="AT19" s="1551">
        <f t="shared" si="75"/>
        <v>2500</v>
      </c>
      <c r="AU19" s="1551">
        <f t="shared" si="75"/>
        <v>2500</v>
      </c>
      <c r="AV19" s="1551">
        <f t="shared" si="75"/>
        <v>2500</v>
      </c>
      <c r="AW19" s="1414">
        <f t="shared" si="34"/>
        <v>7500</v>
      </c>
      <c r="AX19" s="1414">
        <f t="shared" si="35"/>
        <v>7500</v>
      </c>
      <c r="AY19" s="1414">
        <f t="shared" si="36"/>
        <v>7500</v>
      </c>
      <c r="AZ19" s="1414">
        <f t="shared" si="37"/>
        <v>7500</v>
      </c>
      <c r="BA19" s="1414">
        <f t="shared" si="38"/>
        <v>30000</v>
      </c>
      <c r="BB19" s="1549"/>
      <c r="BC19" s="1549">
        <f t="shared" ref="BC19:BM19" si="76">BB19</f>
        <v>0</v>
      </c>
      <c r="BD19" s="1549">
        <f t="shared" si="76"/>
        <v>0</v>
      </c>
      <c r="BE19" s="1549">
        <f t="shared" si="76"/>
        <v>0</v>
      </c>
      <c r="BF19" s="1549">
        <f t="shared" si="76"/>
        <v>0</v>
      </c>
      <c r="BG19" s="1549">
        <f t="shared" si="76"/>
        <v>0</v>
      </c>
      <c r="BH19" s="1549">
        <f t="shared" si="76"/>
        <v>0</v>
      </c>
      <c r="BI19" s="1549">
        <f t="shared" si="76"/>
        <v>0</v>
      </c>
      <c r="BJ19" s="1549">
        <f t="shared" si="76"/>
        <v>0</v>
      </c>
      <c r="BK19" s="1549">
        <f t="shared" si="76"/>
        <v>0</v>
      </c>
      <c r="BL19" s="1549">
        <f t="shared" si="76"/>
        <v>0</v>
      </c>
      <c r="BM19" s="1549">
        <f t="shared" si="76"/>
        <v>0</v>
      </c>
      <c r="BN19" s="1414">
        <f t="shared" si="40"/>
        <v>0</v>
      </c>
      <c r="BO19" s="1414">
        <f t="shared" si="41"/>
        <v>0</v>
      </c>
      <c r="BP19" s="1414">
        <f t="shared" si="42"/>
        <v>0</v>
      </c>
      <c r="BQ19" s="1414">
        <f t="shared" si="43"/>
        <v>0</v>
      </c>
      <c r="BR19" s="1414">
        <f t="shared" si="44"/>
        <v>0</v>
      </c>
    </row>
    <row r="20" spans="1:72" ht="16.5">
      <c r="A20" s="481"/>
      <c r="B20" s="157" t="s">
        <v>1569</v>
      </c>
      <c r="C20" s="158">
        <f t="shared" si="61"/>
        <v>3000</v>
      </c>
      <c r="D20" s="158">
        <f t="shared" si="48"/>
        <v>0</v>
      </c>
      <c r="E20" s="158">
        <f t="shared" si="49"/>
        <v>2000</v>
      </c>
      <c r="F20" s="158">
        <f t="shared" si="50"/>
        <v>73</v>
      </c>
      <c r="G20" s="158">
        <f t="shared" si="51"/>
        <v>17176</v>
      </c>
      <c r="H20" s="158">
        <f t="shared" si="52"/>
        <v>327</v>
      </c>
      <c r="I20" s="158">
        <f t="shared" si="53"/>
        <v>6000</v>
      </c>
      <c r="J20" s="158">
        <f t="shared" si="54"/>
        <v>0</v>
      </c>
      <c r="K20" s="158">
        <f t="shared" si="55"/>
        <v>11815</v>
      </c>
      <c r="L20" s="158">
        <f t="shared" si="56"/>
        <v>1446</v>
      </c>
      <c r="M20" s="158">
        <f t="shared" si="57"/>
        <v>25000</v>
      </c>
      <c r="N20" s="158">
        <f t="shared" si="58"/>
        <v>0</v>
      </c>
      <c r="O20" s="1548">
        <f t="shared" si="62"/>
        <v>5000</v>
      </c>
      <c r="P20" s="1548">
        <f t="shared" si="63"/>
        <v>17576</v>
      </c>
      <c r="Q20" s="1548">
        <f t="shared" si="64"/>
        <v>17815</v>
      </c>
      <c r="R20" s="1548">
        <f t="shared" si="65"/>
        <v>26446</v>
      </c>
      <c r="S20" s="1548">
        <f t="shared" si="66"/>
        <v>66837</v>
      </c>
      <c r="T20" s="1549">
        <f ca="1">'2210'!D74</f>
        <v>3000</v>
      </c>
      <c r="U20" s="1549">
        <f ca="1">'2210'!E74</f>
        <v>0</v>
      </c>
      <c r="V20" s="1549">
        <f ca="1">'2210'!F74</f>
        <v>0</v>
      </c>
      <c r="W20" s="1549">
        <f ca="1">'2210'!G74</f>
        <v>73</v>
      </c>
      <c r="X20" s="1549">
        <f ca="1">'2210'!H74</f>
        <v>176</v>
      </c>
      <c r="Y20" s="1549">
        <f ca="1">'2210'!I74</f>
        <v>327</v>
      </c>
      <c r="Z20" s="1549">
        <f ca="1">'2210'!J74</f>
        <v>0</v>
      </c>
      <c r="AA20" s="1549">
        <f ca="1">'2210'!K74</f>
        <v>0</v>
      </c>
      <c r="AB20" s="1549">
        <f ca="1">'2210'!L74</f>
        <v>2815</v>
      </c>
      <c r="AC20" s="1549">
        <f ca="1">'2210'!M74</f>
        <v>1446</v>
      </c>
      <c r="AD20" s="1549">
        <f ca="1">'2210'!N74</f>
        <v>0</v>
      </c>
      <c r="AE20" s="1549">
        <f ca="1">'2210'!O74</f>
        <v>0</v>
      </c>
      <c r="AF20" s="1414">
        <f t="shared" si="29"/>
        <v>3000</v>
      </c>
      <c r="AG20" s="1414">
        <f t="shared" si="30"/>
        <v>576</v>
      </c>
      <c r="AH20" s="1414">
        <f t="shared" si="31"/>
        <v>2815</v>
      </c>
      <c r="AI20" s="1414">
        <f t="shared" si="32"/>
        <v>1446</v>
      </c>
      <c r="AJ20" s="1414">
        <f t="shared" si="33"/>
        <v>7837</v>
      </c>
      <c r="AK20" s="1550"/>
      <c r="AL20" s="1550"/>
      <c r="AM20" s="1550">
        <v>2000</v>
      </c>
      <c r="AN20" s="1550"/>
      <c r="AO20" s="1550">
        <v>17000</v>
      </c>
      <c r="AP20" s="1550"/>
      <c r="AQ20" s="1550">
        <v>6000</v>
      </c>
      <c r="AR20" s="1550"/>
      <c r="AS20" s="1550">
        <v>9000</v>
      </c>
      <c r="AT20" s="1550"/>
      <c r="AU20" s="1550">
        <v>25000</v>
      </c>
      <c r="AV20" s="1550"/>
      <c r="AW20" s="1414">
        <f t="shared" si="34"/>
        <v>2000</v>
      </c>
      <c r="AX20" s="1414">
        <f t="shared" si="35"/>
        <v>17000</v>
      </c>
      <c r="AY20" s="1414">
        <f t="shared" si="36"/>
        <v>15000</v>
      </c>
      <c r="AZ20" s="1414">
        <f t="shared" si="37"/>
        <v>25000</v>
      </c>
      <c r="BA20" s="1414">
        <f t="shared" si="38"/>
        <v>59000</v>
      </c>
      <c r="BB20" s="1549"/>
      <c r="BC20" s="1549">
        <f t="shared" ref="BC20:BM20" si="77">BB20</f>
        <v>0</v>
      </c>
      <c r="BD20" s="1549">
        <f t="shared" si="77"/>
        <v>0</v>
      </c>
      <c r="BE20" s="1549">
        <f t="shared" si="77"/>
        <v>0</v>
      </c>
      <c r="BF20" s="1549">
        <f t="shared" si="77"/>
        <v>0</v>
      </c>
      <c r="BG20" s="1549">
        <f t="shared" si="77"/>
        <v>0</v>
      </c>
      <c r="BH20" s="1549">
        <f t="shared" si="77"/>
        <v>0</v>
      </c>
      <c r="BI20" s="1549">
        <f t="shared" si="77"/>
        <v>0</v>
      </c>
      <c r="BJ20" s="1549">
        <f t="shared" si="77"/>
        <v>0</v>
      </c>
      <c r="BK20" s="1549">
        <f t="shared" si="77"/>
        <v>0</v>
      </c>
      <c r="BL20" s="1549">
        <f t="shared" si="77"/>
        <v>0</v>
      </c>
      <c r="BM20" s="1549">
        <f t="shared" si="77"/>
        <v>0</v>
      </c>
      <c r="BN20" s="1414">
        <f t="shared" si="40"/>
        <v>0</v>
      </c>
      <c r="BO20" s="1414">
        <f t="shared" si="41"/>
        <v>0</v>
      </c>
      <c r="BP20" s="1414">
        <f t="shared" si="42"/>
        <v>0</v>
      </c>
      <c r="BQ20" s="1414">
        <f t="shared" si="43"/>
        <v>0</v>
      </c>
      <c r="BR20" s="1414">
        <f t="shared" si="44"/>
        <v>0</v>
      </c>
    </row>
    <row r="21" spans="1:72" ht="16.5">
      <c r="A21" s="481"/>
      <c r="B21" s="157" t="s">
        <v>1570</v>
      </c>
      <c r="C21" s="158">
        <f t="shared" si="61"/>
        <v>165000</v>
      </c>
      <c r="D21" s="158">
        <f t="shared" si="48"/>
        <v>0</v>
      </c>
      <c r="E21" s="158">
        <f t="shared" si="49"/>
        <v>0</v>
      </c>
      <c r="F21" s="158">
        <f t="shared" si="50"/>
        <v>165200</v>
      </c>
      <c r="G21" s="158">
        <f t="shared" si="51"/>
        <v>400</v>
      </c>
      <c r="H21" s="158">
        <f t="shared" si="52"/>
        <v>0</v>
      </c>
      <c r="I21" s="158">
        <f t="shared" si="53"/>
        <v>165000</v>
      </c>
      <c r="J21" s="158">
        <f t="shared" si="54"/>
        <v>0</v>
      </c>
      <c r="K21" s="158">
        <f t="shared" si="55"/>
        <v>1400</v>
      </c>
      <c r="L21" s="158">
        <f t="shared" si="56"/>
        <v>165000</v>
      </c>
      <c r="M21" s="158">
        <f t="shared" si="57"/>
        <v>10000</v>
      </c>
      <c r="N21" s="158">
        <f t="shared" si="58"/>
        <v>0</v>
      </c>
      <c r="O21" s="1548">
        <f t="shared" si="62"/>
        <v>165000</v>
      </c>
      <c r="P21" s="1548">
        <f t="shared" si="63"/>
        <v>165600</v>
      </c>
      <c r="Q21" s="1548">
        <f t="shared" si="64"/>
        <v>166400</v>
      </c>
      <c r="R21" s="1548">
        <f t="shared" si="65"/>
        <v>175000</v>
      </c>
      <c r="S21" s="1548">
        <f t="shared" si="66"/>
        <v>672000</v>
      </c>
      <c r="T21" s="1549">
        <f ca="1">'2210'!D79</f>
        <v>165000</v>
      </c>
      <c r="U21" s="1549">
        <f ca="1">'2210'!E79</f>
        <v>0</v>
      </c>
      <c r="V21" s="1549">
        <f ca="1">'2210'!F79</f>
        <v>0</v>
      </c>
      <c r="W21" s="1549">
        <f ca="1">'2210'!G79</f>
        <v>165200</v>
      </c>
      <c r="X21" s="1549">
        <f ca="1">'2210'!H79</f>
        <v>400</v>
      </c>
      <c r="Y21" s="1549">
        <f ca="1">'2210'!I79</f>
        <v>0</v>
      </c>
      <c r="Z21" s="1549">
        <f ca="1">'2210'!J79</f>
        <v>165000</v>
      </c>
      <c r="AA21" s="1549">
        <f ca="1">'2210'!K79</f>
        <v>0</v>
      </c>
      <c r="AB21" s="1549">
        <f ca="1">'2210'!L79</f>
        <v>1400</v>
      </c>
      <c r="AC21" s="1549">
        <f ca="1">'2210'!M79</f>
        <v>165000</v>
      </c>
      <c r="AD21" s="1549">
        <f ca="1">'2210'!N79</f>
        <v>0</v>
      </c>
      <c r="AE21" s="1549">
        <f ca="1">'2210'!O79</f>
        <v>0</v>
      </c>
      <c r="AF21" s="1414">
        <f t="shared" si="29"/>
        <v>165000</v>
      </c>
      <c r="AG21" s="1414">
        <f t="shared" si="30"/>
        <v>165600</v>
      </c>
      <c r="AH21" s="1414">
        <f t="shared" si="31"/>
        <v>166400</v>
      </c>
      <c r="AI21" s="1414">
        <f t="shared" si="32"/>
        <v>165000</v>
      </c>
      <c r="AJ21" s="1414">
        <f t="shared" si="33"/>
        <v>662000</v>
      </c>
      <c r="AK21" s="1550"/>
      <c r="AL21" s="1550"/>
      <c r="AM21" s="1550"/>
      <c r="AN21" s="1550"/>
      <c r="AO21" s="1550"/>
      <c r="AP21" s="1550"/>
      <c r="AQ21" s="1550"/>
      <c r="AR21" s="1550"/>
      <c r="AS21" s="1550"/>
      <c r="AT21" s="1550"/>
      <c r="AU21" s="1550">
        <v>10000</v>
      </c>
      <c r="AV21" s="1550"/>
      <c r="AW21" s="1414">
        <f t="shared" si="34"/>
        <v>0</v>
      </c>
      <c r="AX21" s="1414">
        <f t="shared" si="35"/>
        <v>0</v>
      </c>
      <c r="AY21" s="1414">
        <f t="shared" si="36"/>
        <v>0</v>
      </c>
      <c r="AZ21" s="1414">
        <f t="shared" si="37"/>
        <v>10000</v>
      </c>
      <c r="BA21" s="1414">
        <f t="shared" si="38"/>
        <v>10000</v>
      </c>
      <c r="BB21" s="1549"/>
      <c r="BC21" s="1549">
        <f t="shared" ref="BC21:BM21" si="78">BB21</f>
        <v>0</v>
      </c>
      <c r="BD21" s="1549">
        <f t="shared" si="78"/>
        <v>0</v>
      </c>
      <c r="BE21" s="1549">
        <f t="shared" si="78"/>
        <v>0</v>
      </c>
      <c r="BF21" s="1549">
        <f t="shared" si="78"/>
        <v>0</v>
      </c>
      <c r="BG21" s="1549">
        <f t="shared" si="78"/>
        <v>0</v>
      </c>
      <c r="BH21" s="1549">
        <f t="shared" si="78"/>
        <v>0</v>
      </c>
      <c r="BI21" s="1549">
        <f t="shared" si="78"/>
        <v>0</v>
      </c>
      <c r="BJ21" s="1549">
        <f t="shared" si="78"/>
        <v>0</v>
      </c>
      <c r="BK21" s="1549">
        <f t="shared" si="78"/>
        <v>0</v>
      </c>
      <c r="BL21" s="1549">
        <f t="shared" si="78"/>
        <v>0</v>
      </c>
      <c r="BM21" s="1549">
        <f t="shared" si="78"/>
        <v>0</v>
      </c>
      <c r="BN21" s="1414">
        <f t="shared" si="40"/>
        <v>0</v>
      </c>
      <c r="BO21" s="1414">
        <f t="shared" si="41"/>
        <v>0</v>
      </c>
      <c r="BP21" s="1414">
        <f t="shared" si="42"/>
        <v>0</v>
      </c>
      <c r="BQ21" s="1414">
        <f t="shared" si="43"/>
        <v>0</v>
      </c>
      <c r="BR21" s="1414">
        <f t="shared" si="44"/>
        <v>0</v>
      </c>
    </row>
    <row r="22" spans="1:72" ht="25.5">
      <c r="A22" s="481"/>
      <c r="B22" s="157" t="s">
        <v>1571</v>
      </c>
      <c r="C22" s="158">
        <f t="shared" si="61"/>
        <v>895890.91318681324</v>
      </c>
      <c r="D22" s="158">
        <f t="shared" si="48"/>
        <v>814129.15384615387</v>
      </c>
      <c r="E22" s="158">
        <f t="shared" si="49"/>
        <v>843775.01318681322</v>
      </c>
      <c r="F22" s="158">
        <f t="shared" si="50"/>
        <v>526991.49670329667</v>
      </c>
      <c r="G22" s="158">
        <f t="shared" si="51"/>
        <v>193119.7</v>
      </c>
      <c r="H22" s="158">
        <f t="shared" si="52"/>
        <v>156251.20000000001</v>
      </c>
      <c r="I22" s="158">
        <f t="shared" si="53"/>
        <v>156251.20000000001</v>
      </c>
      <c r="J22" s="158">
        <f t="shared" si="54"/>
        <v>156351.20000000001</v>
      </c>
      <c r="K22" s="158">
        <f t="shared" si="55"/>
        <v>230088.19999999998</v>
      </c>
      <c r="L22" s="158">
        <f t="shared" si="56"/>
        <v>569192.81648351648</v>
      </c>
      <c r="M22" s="158">
        <f t="shared" si="57"/>
        <v>861463.2934065935</v>
      </c>
      <c r="N22" s="158">
        <f t="shared" si="58"/>
        <v>888817.21318681317</v>
      </c>
      <c r="O22" s="1548">
        <f t="shared" si="62"/>
        <v>2553795.0802197806</v>
      </c>
      <c r="P22" s="1548">
        <f t="shared" si="63"/>
        <v>876362.39670329657</v>
      </c>
      <c r="Q22" s="1548">
        <f t="shared" si="64"/>
        <v>542690.6</v>
      </c>
      <c r="R22" s="1548">
        <f t="shared" si="65"/>
        <v>2319473.3230769229</v>
      </c>
      <c r="S22" s="1548">
        <f t="shared" si="66"/>
        <v>6292321.4000000004</v>
      </c>
      <c r="T22" s="1549"/>
      <c r="U22" s="1549"/>
      <c r="V22" s="1549"/>
      <c r="W22" s="1549"/>
      <c r="X22" s="1549"/>
      <c r="Y22" s="1549"/>
      <c r="Z22" s="1549"/>
      <c r="AA22" s="1549"/>
      <c r="AB22" s="1549"/>
      <c r="AC22" s="1549"/>
      <c r="AD22" s="1549"/>
      <c r="AE22" s="1549"/>
      <c r="AF22" s="1414">
        <f t="shared" si="29"/>
        <v>0</v>
      </c>
      <c r="AG22" s="1414">
        <f t="shared" si="30"/>
        <v>0</v>
      </c>
      <c r="AH22" s="1414">
        <f t="shared" si="31"/>
        <v>0</v>
      </c>
      <c r="AI22" s="1414">
        <f t="shared" si="32"/>
        <v>0</v>
      </c>
      <c r="AJ22" s="1414">
        <f t="shared" si="33"/>
        <v>0</v>
      </c>
      <c r="AK22" s="1549">
        <f ca="1">Енергоносії!C8</f>
        <v>98786.748091147121</v>
      </c>
      <c r="AL22" s="1549">
        <f ca="1">Енергоносії!D8</f>
        <v>89805.017854469712</v>
      </c>
      <c r="AM22" s="1549">
        <f ca="1">Енергоносії!E8</f>
        <v>92532.840091147111</v>
      </c>
      <c r="AN22" s="1549">
        <f ca="1">Енергоносії!F8</f>
        <v>58943.782828867734</v>
      </c>
      <c r="AO22" s="1549">
        <f ca="1">Енергоносії!G8</f>
        <v>23027.571645480813</v>
      </c>
      <c r="AP22" s="1549">
        <f ca="1">Енергоносії!H8</f>
        <v>18603.351645480812</v>
      </c>
      <c r="AQ22" s="1549">
        <f ca="1">Енергоносії!I8</f>
        <v>18603.351645480812</v>
      </c>
      <c r="AR22" s="1549">
        <f ca="1">Енергоносії!J8</f>
        <v>18615.351645480812</v>
      </c>
      <c r="AS22" s="1549">
        <f ca="1">Енергоносії!K8</f>
        <v>27463.791645480815</v>
      </c>
      <c r="AT22" s="1549">
        <f ca="1">Енергоносії!L8</f>
        <v>63731.380907760198</v>
      </c>
      <c r="AU22" s="1549">
        <f ca="1">Енергоносії!M8</f>
        <v>94931.994012254654</v>
      </c>
      <c r="AV22" s="1549">
        <f ca="1">Енергоносії!N8</f>
        <v>97937.904091147109</v>
      </c>
      <c r="AW22" s="1414">
        <f t="shared" si="34"/>
        <v>281124.60603676393</v>
      </c>
      <c r="AX22" s="1414">
        <f t="shared" si="35"/>
        <v>100574.70611982935</v>
      </c>
      <c r="AY22" s="1414">
        <f t="shared" si="36"/>
        <v>64682.494936442439</v>
      </c>
      <c r="AZ22" s="1414">
        <f t="shared" si="37"/>
        <v>256601.27901116194</v>
      </c>
      <c r="BA22" s="1414">
        <f t="shared" si="38"/>
        <v>702983.08610419766</v>
      </c>
      <c r="BB22" s="1549">
        <f ca="1">Енергоносії!C3</f>
        <v>797104.16509566607</v>
      </c>
      <c r="BC22" s="1549">
        <f ca="1">Енергоносії!D3</f>
        <v>724324.13599168416</v>
      </c>
      <c r="BD22" s="1549">
        <f ca="1">Енергоносії!E3</f>
        <v>751242.1730956661</v>
      </c>
      <c r="BE22" s="1549">
        <f ca="1">Енергоносії!F3</f>
        <v>468047.71387442894</v>
      </c>
      <c r="BF22" s="1549">
        <f ca="1">Енергоносії!G3</f>
        <v>170092.1283545192</v>
      </c>
      <c r="BG22" s="1549">
        <f ca="1">Енергоносії!H3</f>
        <v>137647.8483545192</v>
      </c>
      <c r="BH22" s="1549">
        <f ca="1">Енергоносії!I3</f>
        <v>137647.8483545192</v>
      </c>
      <c r="BI22" s="1549">
        <f ca="1">Енергоносії!J3</f>
        <v>137735.8483545192</v>
      </c>
      <c r="BJ22" s="1549">
        <f ca="1">Енергоносії!K3</f>
        <v>202624.40835451917</v>
      </c>
      <c r="BK22" s="1549">
        <f ca="1">Енергоносії!L3</f>
        <v>505461.4355757563</v>
      </c>
      <c r="BL22" s="1549">
        <f ca="1">Енергоносії!M3</f>
        <v>766531.29939433886</v>
      </c>
      <c r="BM22" s="1549">
        <f ca="1">Енергоносії!N3</f>
        <v>790879.30909566605</v>
      </c>
      <c r="BN22" s="1414">
        <f t="shared" si="40"/>
        <v>2272670.4741830165</v>
      </c>
      <c r="BO22" s="1414">
        <f t="shared" si="41"/>
        <v>775787.69058346737</v>
      </c>
      <c r="BP22" s="1414">
        <f t="shared" si="42"/>
        <v>478008.10506355757</v>
      </c>
      <c r="BQ22" s="1414">
        <f t="shared" si="43"/>
        <v>2062872.0440657611</v>
      </c>
      <c r="BR22" s="1414">
        <f t="shared" si="44"/>
        <v>5589338.3138958029</v>
      </c>
      <c r="BS22" s="190">
        <f ca="1">'Програма МБ 2023 рік'!D9</f>
        <v>5589338.313895802</v>
      </c>
      <c r="BT22" s="190"/>
    </row>
    <row r="23" spans="1:72">
      <c r="A23" s="481"/>
      <c r="B23" s="157" t="s">
        <v>1572</v>
      </c>
      <c r="C23" s="158">
        <f t="shared" si="61"/>
        <v>0</v>
      </c>
      <c r="D23" s="158">
        <f t="shared" si="48"/>
        <v>0</v>
      </c>
      <c r="E23" s="158">
        <f t="shared" si="49"/>
        <v>0</v>
      </c>
      <c r="F23" s="158">
        <f t="shared" si="50"/>
        <v>0</v>
      </c>
      <c r="G23" s="158">
        <f t="shared" si="51"/>
        <v>0</v>
      </c>
      <c r="H23" s="158">
        <f t="shared" si="52"/>
        <v>0</v>
      </c>
      <c r="I23" s="158">
        <f t="shared" si="53"/>
        <v>0</v>
      </c>
      <c r="J23" s="158">
        <f t="shared" si="54"/>
        <v>0</v>
      </c>
      <c r="K23" s="158">
        <f t="shared" si="55"/>
        <v>0</v>
      </c>
      <c r="L23" s="158">
        <f t="shared" si="56"/>
        <v>0</v>
      </c>
      <c r="M23" s="158">
        <f t="shared" si="57"/>
        <v>0</v>
      </c>
      <c r="N23" s="158">
        <f t="shared" si="58"/>
        <v>0</v>
      </c>
      <c r="O23" s="1548">
        <f t="shared" si="62"/>
        <v>0</v>
      </c>
      <c r="P23" s="1548">
        <f t="shared" si="63"/>
        <v>0</v>
      </c>
      <c r="Q23" s="1548">
        <f t="shared" si="64"/>
        <v>0</v>
      </c>
      <c r="R23" s="1548">
        <f t="shared" si="65"/>
        <v>0</v>
      </c>
      <c r="S23" s="1548">
        <f t="shared" si="66"/>
        <v>0</v>
      </c>
      <c r="T23" s="1549"/>
      <c r="U23" s="1549">
        <f t="shared" ref="U23:AE24" si="79">T23</f>
        <v>0</v>
      </c>
      <c r="V23" s="1549">
        <f t="shared" ref="V23:AE23" si="80">U23</f>
        <v>0</v>
      </c>
      <c r="W23" s="1549">
        <f t="shared" si="80"/>
        <v>0</v>
      </c>
      <c r="X23" s="1549">
        <f t="shared" si="80"/>
        <v>0</v>
      </c>
      <c r="Y23" s="1549">
        <f t="shared" si="80"/>
        <v>0</v>
      </c>
      <c r="Z23" s="1549">
        <f t="shared" si="80"/>
        <v>0</v>
      </c>
      <c r="AA23" s="1549">
        <f t="shared" si="80"/>
        <v>0</v>
      </c>
      <c r="AB23" s="1549">
        <f t="shared" si="80"/>
        <v>0</v>
      </c>
      <c r="AC23" s="1549">
        <f t="shared" si="80"/>
        <v>0</v>
      </c>
      <c r="AD23" s="1549">
        <f t="shared" si="80"/>
        <v>0</v>
      </c>
      <c r="AE23" s="1549">
        <f t="shared" si="80"/>
        <v>0</v>
      </c>
      <c r="AF23" s="1414">
        <f t="shared" si="29"/>
        <v>0</v>
      </c>
      <c r="AG23" s="1414">
        <f t="shared" si="30"/>
        <v>0</v>
      </c>
      <c r="AH23" s="1414">
        <f t="shared" si="31"/>
        <v>0</v>
      </c>
      <c r="AI23" s="1414">
        <f t="shared" si="32"/>
        <v>0</v>
      </c>
      <c r="AJ23" s="1414">
        <f t="shared" si="33"/>
        <v>0</v>
      </c>
      <c r="AK23" s="1549"/>
      <c r="AL23" s="1549">
        <f t="shared" ref="AL23:AV23" si="81">AK23</f>
        <v>0</v>
      </c>
      <c r="AM23" s="1549">
        <f t="shared" si="81"/>
        <v>0</v>
      </c>
      <c r="AN23" s="1549">
        <f t="shared" si="81"/>
        <v>0</v>
      </c>
      <c r="AO23" s="1549">
        <f t="shared" si="81"/>
        <v>0</v>
      </c>
      <c r="AP23" s="1549">
        <f t="shared" si="81"/>
        <v>0</v>
      </c>
      <c r="AQ23" s="1549">
        <f t="shared" si="81"/>
        <v>0</v>
      </c>
      <c r="AR23" s="1549">
        <f t="shared" si="81"/>
        <v>0</v>
      </c>
      <c r="AS23" s="1549">
        <f t="shared" si="81"/>
        <v>0</v>
      </c>
      <c r="AT23" s="1549">
        <f t="shared" si="81"/>
        <v>0</v>
      </c>
      <c r="AU23" s="1549">
        <f t="shared" si="81"/>
        <v>0</v>
      </c>
      <c r="AV23" s="1549">
        <f t="shared" si="81"/>
        <v>0</v>
      </c>
      <c r="AW23" s="1414">
        <f t="shared" si="34"/>
        <v>0</v>
      </c>
      <c r="AX23" s="1414">
        <f t="shared" si="35"/>
        <v>0</v>
      </c>
      <c r="AY23" s="1414">
        <f t="shared" si="36"/>
        <v>0</v>
      </c>
      <c r="AZ23" s="1414">
        <f t="shared" si="37"/>
        <v>0</v>
      </c>
      <c r="BA23" s="1414">
        <f t="shared" si="38"/>
        <v>0</v>
      </c>
      <c r="BB23" s="1549"/>
      <c r="BC23" s="1549">
        <f t="shared" ref="BC23:BM23" si="82">BB23</f>
        <v>0</v>
      </c>
      <c r="BD23" s="1549">
        <f t="shared" si="82"/>
        <v>0</v>
      </c>
      <c r="BE23" s="1549">
        <f t="shared" si="82"/>
        <v>0</v>
      </c>
      <c r="BF23" s="1549">
        <f t="shared" si="82"/>
        <v>0</v>
      </c>
      <c r="BG23" s="1549">
        <f t="shared" si="82"/>
        <v>0</v>
      </c>
      <c r="BH23" s="1549">
        <f t="shared" si="82"/>
        <v>0</v>
      </c>
      <c r="BI23" s="1549">
        <f t="shared" si="82"/>
        <v>0</v>
      </c>
      <c r="BJ23" s="1549">
        <f t="shared" si="82"/>
        <v>0</v>
      </c>
      <c r="BK23" s="1549">
        <f t="shared" si="82"/>
        <v>0</v>
      </c>
      <c r="BL23" s="1549">
        <f t="shared" si="82"/>
        <v>0</v>
      </c>
      <c r="BM23" s="1549">
        <f t="shared" si="82"/>
        <v>0</v>
      </c>
      <c r="BN23" s="1414">
        <f t="shared" si="40"/>
        <v>0</v>
      </c>
      <c r="BO23" s="1414">
        <f t="shared" si="41"/>
        <v>0</v>
      </c>
      <c r="BP23" s="1414">
        <f t="shared" si="42"/>
        <v>0</v>
      </c>
      <c r="BQ23" s="1414">
        <f t="shared" si="43"/>
        <v>0</v>
      </c>
      <c r="BR23" s="1414">
        <f t="shared" si="44"/>
        <v>0</v>
      </c>
    </row>
    <row r="24" spans="1:72">
      <c r="A24" s="481"/>
      <c r="B24" s="157" t="s">
        <v>1573</v>
      </c>
      <c r="C24" s="158">
        <f t="shared" si="61"/>
        <v>0</v>
      </c>
      <c r="D24" s="158">
        <f t="shared" si="48"/>
        <v>0</v>
      </c>
      <c r="E24" s="158">
        <f t="shared" si="49"/>
        <v>0</v>
      </c>
      <c r="F24" s="158">
        <f t="shared" si="50"/>
        <v>0</v>
      </c>
      <c r="G24" s="158">
        <f t="shared" si="51"/>
        <v>0</v>
      </c>
      <c r="H24" s="158">
        <f t="shared" si="52"/>
        <v>0</v>
      </c>
      <c r="I24" s="158">
        <f t="shared" si="53"/>
        <v>0</v>
      </c>
      <c r="J24" s="158">
        <f t="shared" si="54"/>
        <v>0</v>
      </c>
      <c r="K24" s="158">
        <f t="shared" si="55"/>
        <v>0</v>
      </c>
      <c r="L24" s="158">
        <f t="shared" si="56"/>
        <v>0</v>
      </c>
      <c r="M24" s="158">
        <f t="shared" si="57"/>
        <v>0</v>
      </c>
      <c r="N24" s="158">
        <f t="shared" si="58"/>
        <v>0</v>
      </c>
      <c r="O24" s="1548">
        <f t="shared" si="62"/>
        <v>0</v>
      </c>
      <c r="P24" s="1548">
        <f t="shared" si="63"/>
        <v>0</v>
      </c>
      <c r="Q24" s="1548">
        <f t="shared" si="64"/>
        <v>0</v>
      </c>
      <c r="R24" s="1548">
        <f t="shared" si="65"/>
        <v>0</v>
      </c>
      <c r="S24" s="1548">
        <f t="shared" si="66"/>
        <v>0</v>
      </c>
      <c r="T24" s="1549"/>
      <c r="U24" s="1549">
        <f t="shared" si="79"/>
        <v>0</v>
      </c>
      <c r="V24" s="1549">
        <f t="shared" si="79"/>
        <v>0</v>
      </c>
      <c r="W24" s="1549">
        <f t="shared" si="79"/>
        <v>0</v>
      </c>
      <c r="X24" s="1549">
        <f t="shared" si="79"/>
        <v>0</v>
      </c>
      <c r="Y24" s="1549">
        <f t="shared" si="79"/>
        <v>0</v>
      </c>
      <c r="Z24" s="1549">
        <f t="shared" si="79"/>
        <v>0</v>
      </c>
      <c r="AA24" s="1549">
        <f t="shared" si="79"/>
        <v>0</v>
      </c>
      <c r="AB24" s="1549">
        <f t="shared" si="79"/>
        <v>0</v>
      </c>
      <c r="AC24" s="1549">
        <f t="shared" si="79"/>
        <v>0</v>
      </c>
      <c r="AD24" s="1549">
        <f t="shared" si="79"/>
        <v>0</v>
      </c>
      <c r="AE24" s="1549">
        <f t="shared" si="79"/>
        <v>0</v>
      </c>
      <c r="AF24" s="1414">
        <f t="shared" si="29"/>
        <v>0</v>
      </c>
      <c r="AG24" s="1414">
        <f t="shared" si="30"/>
        <v>0</v>
      </c>
      <c r="AH24" s="1414">
        <f t="shared" si="31"/>
        <v>0</v>
      </c>
      <c r="AI24" s="1414">
        <f t="shared" si="32"/>
        <v>0</v>
      </c>
      <c r="AJ24" s="1414">
        <f t="shared" si="33"/>
        <v>0</v>
      </c>
      <c r="AK24" s="1549"/>
      <c r="AL24" s="1549">
        <f t="shared" ref="AL24:AV26" si="83">AK24</f>
        <v>0</v>
      </c>
      <c r="AM24" s="1549">
        <f t="shared" si="83"/>
        <v>0</v>
      </c>
      <c r="AN24" s="1549">
        <f t="shared" si="83"/>
        <v>0</v>
      </c>
      <c r="AO24" s="1549">
        <f t="shared" si="83"/>
        <v>0</v>
      </c>
      <c r="AP24" s="1549">
        <f t="shared" si="83"/>
        <v>0</v>
      </c>
      <c r="AQ24" s="1549">
        <f t="shared" si="83"/>
        <v>0</v>
      </c>
      <c r="AR24" s="1549">
        <f t="shared" si="83"/>
        <v>0</v>
      </c>
      <c r="AS24" s="1549">
        <f t="shared" si="83"/>
        <v>0</v>
      </c>
      <c r="AT24" s="1549">
        <f t="shared" si="83"/>
        <v>0</v>
      </c>
      <c r="AU24" s="1549">
        <f t="shared" si="83"/>
        <v>0</v>
      </c>
      <c r="AV24" s="1549">
        <f t="shared" si="83"/>
        <v>0</v>
      </c>
      <c r="AW24" s="1414">
        <f t="shared" si="34"/>
        <v>0</v>
      </c>
      <c r="AX24" s="1414">
        <f t="shared" si="35"/>
        <v>0</v>
      </c>
      <c r="AY24" s="1414">
        <f t="shared" si="36"/>
        <v>0</v>
      </c>
      <c r="AZ24" s="1414">
        <f t="shared" si="37"/>
        <v>0</v>
      </c>
      <c r="BA24" s="1414">
        <f t="shared" si="38"/>
        <v>0</v>
      </c>
      <c r="BB24" s="1549"/>
      <c r="BC24" s="1549">
        <f t="shared" ref="BC24:BM24" si="84">BB24</f>
        <v>0</v>
      </c>
      <c r="BD24" s="1549">
        <f t="shared" si="84"/>
        <v>0</v>
      </c>
      <c r="BE24" s="1549">
        <f t="shared" si="84"/>
        <v>0</v>
      </c>
      <c r="BF24" s="1549">
        <f t="shared" si="84"/>
        <v>0</v>
      </c>
      <c r="BG24" s="1549">
        <f t="shared" si="84"/>
        <v>0</v>
      </c>
      <c r="BH24" s="1549">
        <f t="shared" si="84"/>
        <v>0</v>
      </c>
      <c r="BI24" s="1549">
        <f t="shared" si="84"/>
        <v>0</v>
      </c>
      <c r="BJ24" s="1549">
        <f t="shared" si="84"/>
        <v>0</v>
      </c>
      <c r="BK24" s="1549">
        <f t="shared" si="84"/>
        <v>0</v>
      </c>
      <c r="BL24" s="1549">
        <f t="shared" si="84"/>
        <v>0</v>
      </c>
      <c r="BM24" s="1549">
        <f t="shared" si="84"/>
        <v>0</v>
      </c>
      <c r="BN24" s="1414">
        <f t="shared" si="40"/>
        <v>0</v>
      </c>
      <c r="BO24" s="1414">
        <f t="shared" si="41"/>
        <v>0</v>
      </c>
      <c r="BP24" s="1414">
        <f t="shared" si="42"/>
        <v>0</v>
      </c>
      <c r="BQ24" s="1414">
        <f t="shared" si="43"/>
        <v>0</v>
      </c>
      <c r="BR24" s="1414">
        <f t="shared" si="44"/>
        <v>0</v>
      </c>
    </row>
    <row r="25" spans="1:72">
      <c r="A25" s="480"/>
      <c r="B25" s="154" t="s">
        <v>1574</v>
      </c>
      <c r="C25" s="156">
        <f>SUM(C26,C27,C28,C29,C30,C31)</f>
        <v>0</v>
      </c>
      <c r="D25" s="156">
        <f t="shared" ref="D25:R25" si="85">SUM(D26,D27,D28,D29,D30,D31)</f>
        <v>0</v>
      </c>
      <c r="E25" s="156">
        <f t="shared" si="85"/>
        <v>50000</v>
      </c>
      <c r="F25" s="156">
        <f t="shared" si="85"/>
        <v>20000</v>
      </c>
      <c r="G25" s="156">
        <f t="shared" si="85"/>
        <v>0</v>
      </c>
      <c r="H25" s="156">
        <f t="shared" si="85"/>
        <v>50000</v>
      </c>
      <c r="I25" s="156">
        <f t="shared" si="85"/>
        <v>35000</v>
      </c>
      <c r="J25" s="156">
        <f t="shared" si="85"/>
        <v>3500</v>
      </c>
      <c r="K25" s="156">
        <f t="shared" si="85"/>
        <v>52250</v>
      </c>
      <c r="L25" s="156">
        <f t="shared" si="85"/>
        <v>0</v>
      </c>
      <c r="M25" s="156">
        <f t="shared" si="85"/>
        <v>0</v>
      </c>
      <c r="N25" s="156">
        <f t="shared" si="85"/>
        <v>0</v>
      </c>
      <c r="O25" s="1547">
        <f t="shared" si="85"/>
        <v>50000</v>
      </c>
      <c r="P25" s="1547">
        <f t="shared" si="85"/>
        <v>70000</v>
      </c>
      <c r="Q25" s="1547">
        <f t="shared" si="85"/>
        <v>90750</v>
      </c>
      <c r="R25" s="1547">
        <f t="shared" si="85"/>
        <v>0</v>
      </c>
      <c r="S25" s="1547">
        <f>SUM(S26,S27,S28,S29,S30,S31)</f>
        <v>210750</v>
      </c>
      <c r="T25" s="1413">
        <f>SUM(T26,T27,T28,T29,T30,T31)</f>
        <v>0</v>
      </c>
      <c r="U25" s="1413">
        <f t="shared" ref="U25:AJ25" si="86">SUM(U26,U27,U28,U29,U30,U31)</f>
        <v>0</v>
      </c>
      <c r="V25" s="1413">
        <f t="shared" si="86"/>
        <v>50000</v>
      </c>
      <c r="W25" s="1413">
        <f t="shared" si="86"/>
        <v>20000</v>
      </c>
      <c r="X25" s="1413">
        <f t="shared" si="86"/>
        <v>0</v>
      </c>
      <c r="Y25" s="1413">
        <f t="shared" si="86"/>
        <v>50000</v>
      </c>
      <c r="Z25" s="1413">
        <f t="shared" si="86"/>
        <v>35000</v>
      </c>
      <c r="AA25" s="1413">
        <f t="shared" si="86"/>
        <v>3500</v>
      </c>
      <c r="AB25" s="1413">
        <f t="shared" si="86"/>
        <v>52250</v>
      </c>
      <c r="AC25" s="1413">
        <f t="shared" si="86"/>
        <v>0</v>
      </c>
      <c r="AD25" s="1413">
        <f t="shared" si="86"/>
        <v>0</v>
      </c>
      <c r="AE25" s="1413">
        <f t="shared" si="86"/>
        <v>0</v>
      </c>
      <c r="AF25" s="1413">
        <f t="shared" si="86"/>
        <v>50000</v>
      </c>
      <c r="AG25" s="1413">
        <f t="shared" si="86"/>
        <v>70000</v>
      </c>
      <c r="AH25" s="1413">
        <f t="shared" si="86"/>
        <v>90750</v>
      </c>
      <c r="AI25" s="1413">
        <f t="shared" si="86"/>
        <v>0</v>
      </c>
      <c r="AJ25" s="1413">
        <f t="shared" si="86"/>
        <v>210750</v>
      </c>
      <c r="AK25" s="1413">
        <f>SUM(AK26,AK27,AK28,AK29,AK30,AK31)</f>
        <v>0</v>
      </c>
      <c r="AL25" s="1413">
        <f t="shared" ref="AL25:BA25" si="87">SUM(AL26,AL27,AL28,AL29,AL30,AL31)</f>
        <v>0</v>
      </c>
      <c r="AM25" s="1413">
        <f t="shared" si="87"/>
        <v>0</v>
      </c>
      <c r="AN25" s="1413">
        <f t="shared" si="87"/>
        <v>0</v>
      </c>
      <c r="AO25" s="1413">
        <f t="shared" si="87"/>
        <v>0</v>
      </c>
      <c r="AP25" s="1413">
        <f t="shared" si="87"/>
        <v>0</v>
      </c>
      <c r="AQ25" s="1413">
        <f t="shared" si="87"/>
        <v>0</v>
      </c>
      <c r="AR25" s="1413">
        <f t="shared" si="87"/>
        <v>0</v>
      </c>
      <c r="AS25" s="1413">
        <f t="shared" si="87"/>
        <v>0</v>
      </c>
      <c r="AT25" s="1413">
        <f t="shared" si="87"/>
        <v>0</v>
      </c>
      <c r="AU25" s="1413">
        <f t="shared" si="87"/>
        <v>0</v>
      </c>
      <c r="AV25" s="1413">
        <f t="shared" si="87"/>
        <v>0</v>
      </c>
      <c r="AW25" s="1413">
        <f t="shared" si="87"/>
        <v>0</v>
      </c>
      <c r="AX25" s="1413">
        <f t="shared" si="87"/>
        <v>0</v>
      </c>
      <c r="AY25" s="1413">
        <f t="shared" si="87"/>
        <v>0</v>
      </c>
      <c r="AZ25" s="1413">
        <f t="shared" si="87"/>
        <v>0</v>
      </c>
      <c r="BA25" s="1413">
        <f t="shared" si="87"/>
        <v>0</v>
      </c>
      <c r="BB25" s="1413">
        <f>SUM(BB26,BB27,BB28,BB29,BB30,BB31)</f>
        <v>0</v>
      </c>
      <c r="BC25" s="1413">
        <f t="shared" ref="BC25:BM25" si="88">SUM(BC26,BC27,BC28,BC29,BC30,BC31)</f>
        <v>0</v>
      </c>
      <c r="BD25" s="1413">
        <f t="shared" si="88"/>
        <v>0</v>
      </c>
      <c r="BE25" s="1413">
        <f t="shared" si="88"/>
        <v>0</v>
      </c>
      <c r="BF25" s="1413">
        <f t="shared" si="88"/>
        <v>0</v>
      </c>
      <c r="BG25" s="1413">
        <f t="shared" si="88"/>
        <v>0</v>
      </c>
      <c r="BH25" s="1413">
        <f t="shared" si="88"/>
        <v>0</v>
      </c>
      <c r="BI25" s="1413">
        <f t="shared" si="88"/>
        <v>0</v>
      </c>
      <c r="BJ25" s="1413">
        <f t="shared" si="88"/>
        <v>0</v>
      </c>
      <c r="BK25" s="1413">
        <f t="shared" si="88"/>
        <v>0</v>
      </c>
      <c r="BL25" s="1413">
        <f t="shared" si="88"/>
        <v>0</v>
      </c>
      <c r="BM25" s="1413">
        <f t="shared" si="88"/>
        <v>0</v>
      </c>
      <c r="BN25" s="1413">
        <f>SUM(BN26,BN27,BN28,BN29,BN30,BN31)</f>
        <v>0</v>
      </c>
      <c r="BO25" s="1413">
        <f>SUM(BO26,BO27,BO28,BO29,BO30,BO31)</f>
        <v>0</v>
      </c>
      <c r="BP25" s="1413">
        <f>SUM(BP26,BP27,BP28,BP29,BP30,BP31)</f>
        <v>0</v>
      </c>
      <c r="BQ25" s="1413">
        <f>SUM(BQ26,BQ27,BQ28,BQ29,BQ30,BQ31)</f>
        <v>0</v>
      </c>
      <c r="BR25" s="1413">
        <f>SUM(BR26,BR27,BR28,BR29,BR30,BR31)</f>
        <v>0</v>
      </c>
    </row>
    <row r="26" spans="1:72">
      <c r="A26" s="481"/>
      <c r="B26" s="162" t="s">
        <v>1575</v>
      </c>
      <c r="C26" s="158">
        <f t="shared" ref="C26:N26" si="89">T26+AK26+BB26</f>
        <v>0</v>
      </c>
      <c r="D26" s="158">
        <f t="shared" si="89"/>
        <v>0</v>
      </c>
      <c r="E26" s="158">
        <f t="shared" si="89"/>
        <v>0</v>
      </c>
      <c r="F26" s="158">
        <f t="shared" si="89"/>
        <v>0</v>
      </c>
      <c r="G26" s="158">
        <f t="shared" si="89"/>
        <v>0</v>
      </c>
      <c r="H26" s="158">
        <f t="shared" si="89"/>
        <v>0</v>
      </c>
      <c r="I26" s="158">
        <f t="shared" si="89"/>
        <v>35000</v>
      </c>
      <c r="J26" s="158">
        <f t="shared" si="89"/>
        <v>0</v>
      </c>
      <c r="K26" s="158">
        <f t="shared" si="89"/>
        <v>0</v>
      </c>
      <c r="L26" s="158">
        <f t="shared" si="89"/>
        <v>0</v>
      </c>
      <c r="M26" s="158">
        <f t="shared" si="89"/>
        <v>0</v>
      </c>
      <c r="N26" s="158">
        <f t="shared" si="89"/>
        <v>0</v>
      </c>
      <c r="O26" s="1548">
        <f>SUM(C26:E26)</f>
        <v>0</v>
      </c>
      <c r="P26" s="1548">
        <f>SUM(F26:H26)</f>
        <v>0</v>
      </c>
      <c r="Q26" s="1548">
        <f>SUM(I26:K26)</f>
        <v>35000</v>
      </c>
      <c r="R26" s="1548">
        <f>SUM(L26:N26)</f>
        <v>0</v>
      </c>
      <c r="S26" s="1557">
        <f>O26+P26+Q26+R26</f>
        <v>35000</v>
      </c>
      <c r="T26" s="1549">
        <f ca="1">'2240'!C5</f>
        <v>0</v>
      </c>
      <c r="U26" s="1549">
        <f ca="1">'2240'!D5</f>
        <v>0</v>
      </c>
      <c r="V26" s="1549">
        <f ca="1">'2240'!E5</f>
        <v>0</v>
      </c>
      <c r="W26" s="1549">
        <f ca="1">'2240'!F5</f>
        <v>0</v>
      </c>
      <c r="X26" s="1549">
        <f ca="1">'2240'!G5</f>
        <v>0</v>
      </c>
      <c r="Y26" s="1549">
        <f ca="1">'2240'!H5</f>
        <v>0</v>
      </c>
      <c r="Z26" s="1549">
        <f ca="1">'2240'!I5</f>
        <v>35000</v>
      </c>
      <c r="AA26" s="1549">
        <f ca="1">'2240'!J5</f>
        <v>0</v>
      </c>
      <c r="AB26" s="1549">
        <f ca="1">'2240'!K5</f>
        <v>0</v>
      </c>
      <c r="AC26" s="1549">
        <f ca="1">'2240'!L5</f>
        <v>0</v>
      </c>
      <c r="AD26" s="1549">
        <f ca="1">'2240'!M5</f>
        <v>0</v>
      </c>
      <c r="AE26" s="1549">
        <f ca="1">'2240'!N5</f>
        <v>0</v>
      </c>
      <c r="AF26" s="1414">
        <f t="shared" ref="AF26:AF32" si="90">SUM(T26:V26)</f>
        <v>0</v>
      </c>
      <c r="AG26" s="1414">
        <f t="shared" ref="AG26:AG32" si="91">SUM(W26:Y26)</f>
        <v>0</v>
      </c>
      <c r="AH26" s="1414">
        <f t="shared" ref="AH26:AH32" si="92">SUM(Z26:AB26)</f>
        <v>35000</v>
      </c>
      <c r="AI26" s="1414">
        <f t="shared" ref="AI26:AI32" si="93">SUM(AC26:AE26)</f>
        <v>0</v>
      </c>
      <c r="AJ26" s="1414">
        <f t="shared" ref="AJ26:AJ32" si="94">AF26+AG26+AH26+AI26</f>
        <v>35000</v>
      </c>
      <c r="AK26" s="1549"/>
      <c r="AL26" s="1549">
        <f t="shared" si="83"/>
        <v>0</v>
      </c>
      <c r="AM26" s="1549">
        <f t="shared" si="83"/>
        <v>0</v>
      </c>
      <c r="AN26" s="1549">
        <f t="shared" si="83"/>
        <v>0</v>
      </c>
      <c r="AO26" s="1549">
        <f t="shared" si="83"/>
        <v>0</v>
      </c>
      <c r="AP26" s="1549">
        <f t="shared" si="83"/>
        <v>0</v>
      </c>
      <c r="AQ26" s="1549">
        <f t="shared" si="83"/>
        <v>0</v>
      </c>
      <c r="AR26" s="1549">
        <f t="shared" si="83"/>
        <v>0</v>
      </c>
      <c r="AS26" s="1549">
        <f t="shared" si="83"/>
        <v>0</v>
      </c>
      <c r="AT26" s="1549">
        <f t="shared" si="83"/>
        <v>0</v>
      </c>
      <c r="AU26" s="1549">
        <f t="shared" si="83"/>
        <v>0</v>
      </c>
      <c r="AV26" s="1549">
        <f t="shared" si="83"/>
        <v>0</v>
      </c>
      <c r="AW26" s="1414">
        <f t="shared" ref="AW26:AW32" si="95">SUM(AK26:AM26)</f>
        <v>0</v>
      </c>
      <c r="AX26" s="1414">
        <f t="shared" ref="AX26:AX32" si="96">SUM(AN26:AP26)</f>
        <v>0</v>
      </c>
      <c r="AY26" s="1414">
        <f t="shared" ref="AY26:AY32" si="97">SUM(AQ26:AS26)</f>
        <v>0</v>
      </c>
      <c r="AZ26" s="1414">
        <f t="shared" ref="AZ26:AZ32" si="98">SUM(AT26:AV26)</f>
        <v>0</v>
      </c>
      <c r="BA26" s="1414">
        <f t="shared" ref="BA26:BA32" si="99">AW26+AX26+AY26+AZ26</f>
        <v>0</v>
      </c>
      <c r="BB26" s="1549"/>
      <c r="BC26" s="1549">
        <f t="shared" ref="BC26:BM26" si="100">BB26</f>
        <v>0</v>
      </c>
      <c r="BD26" s="1549">
        <f t="shared" si="100"/>
        <v>0</v>
      </c>
      <c r="BE26" s="1549">
        <f t="shared" si="100"/>
        <v>0</v>
      </c>
      <c r="BF26" s="1549">
        <f t="shared" si="100"/>
        <v>0</v>
      </c>
      <c r="BG26" s="1549">
        <f t="shared" si="100"/>
        <v>0</v>
      </c>
      <c r="BH26" s="1549">
        <f t="shared" si="100"/>
        <v>0</v>
      </c>
      <c r="BI26" s="1549">
        <f t="shared" si="100"/>
        <v>0</v>
      </c>
      <c r="BJ26" s="1549">
        <f t="shared" si="100"/>
        <v>0</v>
      </c>
      <c r="BK26" s="1549">
        <f t="shared" si="100"/>
        <v>0</v>
      </c>
      <c r="BL26" s="1549">
        <f t="shared" si="100"/>
        <v>0</v>
      </c>
      <c r="BM26" s="1549">
        <f t="shared" si="100"/>
        <v>0</v>
      </c>
      <c r="BN26" s="1414">
        <f t="shared" ref="BN26:BN32" si="101">SUM(BB26:BD26)</f>
        <v>0</v>
      </c>
      <c r="BO26" s="1414">
        <f t="shared" ref="BO26:BO32" si="102">SUM(BE26:BG26)</f>
        <v>0</v>
      </c>
      <c r="BP26" s="1414">
        <f t="shared" ref="BP26:BP32" si="103">SUM(BH26:BJ26)</f>
        <v>0</v>
      </c>
      <c r="BQ26" s="1414">
        <f t="shared" ref="BQ26:BQ32" si="104">SUM(BK26:BM26)</f>
        <v>0</v>
      </c>
      <c r="BR26" s="1414">
        <f t="shared" ref="BR26:BR32" si="105">BN26+BO26+BP26+BQ26</f>
        <v>0</v>
      </c>
    </row>
    <row r="27" spans="1:72">
      <c r="A27" s="481"/>
      <c r="B27" s="162" t="s">
        <v>1576</v>
      </c>
      <c r="C27" s="158">
        <f t="shared" ref="C27:C32" si="106">T27+AK27+BB27</f>
        <v>0</v>
      </c>
      <c r="D27" s="158">
        <f t="shared" ref="D27:D32" si="107">U27+AL27+BC27</f>
        <v>0</v>
      </c>
      <c r="E27" s="158">
        <f t="shared" ref="E27:E32" si="108">V27+AM27+BD27</f>
        <v>0</v>
      </c>
      <c r="F27" s="158">
        <f t="shared" ref="F27:F32" si="109">W27+AN27+BE27</f>
        <v>0</v>
      </c>
      <c r="G27" s="158">
        <f t="shared" ref="G27:G32" si="110">X27+AO27+BF27</f>
        <v>0</v>
      </c>
      <c r="H27" s="158">
        <f t="shared" ref="H27:H32" si="111">Y27+AP27+BG27</f>
        <v>0</v>
      </c>
      <c r="I27" s="158">
        <f t="shared" ref="I27:I32" si="112">Z27+AQ27+BH27</f>
        <v>0</v>
      </c>
      <c r="J27" s="158">
        <f t="shared" ref="J27:J32" si="113">AA27+AR27+BI27</f>
        <v>0</v>
      </c>
      <c r="K27" s="158">
        <f t="shared" ref="K27:K32" si="114">AB27+AS27+BJ27</f>
        <v>0</v>
      </c>
      <c r="L27" s="158">
        <f t="shared" ref="L27:L32" si="115">AC27+AT27+BK27</f>
        <v>0</v>
      </c>
      <c r="M27" s="158">
        <f t="shared" ref="M27:M32" si="116">AD27+AU27+BL27</f>
        <v>0</v>
      </c>
      <c r="N27" s="158">
        <f t="shared" ref="N27:N32" si="117">AE27+AV27+BM27</f>
        <v>0</v>
      </c>
      <c r="O27" s="1548">
        <f t="shared" ref="O27:O32" si="118">SUM(C27:E27)</f>
        <v>0</v>
      </c>
      <c r="P27" s="1548">
        <f t="shared" ref="P27:P32" si="119">SUM(F27:H27)</f>
        <v>0</v>
      </c>
      <c r="Q27" s="1548">
        <f t="shared" ref="Q27:Q32" si="120">SUM(I27:K27)</f>
        <v>0</v>
      </c>
      <c r="R27" s="1548">
        <f t="shared" ref="R27:R32" si="121">SUM(L27:N27)</f>
        <v>0</v>
      </c>
      <c r="S27" s="1557">
        <f t="shared" ref="S27:S32" si="122">O27+P27+Q27+R27</f>
        <v>0</v>
      </c>
      <c r="T27" s="1549">
        <f ca="1">'2240'!C6</f>
        <v>0</v>
      </c>
      <c r="U27" s="1549">
        <f ca="1">'2240'!D6</f>
        <v>0</v>
      </c>
      <c r="V27" s="1549">
        <f ca="1">'2240'!E6</f>
        <v>0</v>
      </c>
      <c r="W27" s="1549">
        <f ca="1">'2240'!F6</f>
        <v>0</v>
      </c>
      <c r="X27" s="1549">
        <f ca="1">'2240'!G6</f>
        <v>0</v>
      </c>
      <c r="Y27" s="1549">
        <f ca="1">'2240'!H6</f>
        <v>0</v>
      </c>
      <c r="Z27" s="1549">
        <f ca="1">'2240'!I6</f>
        <v>0</v>
      </c>
      <c r="AA27" s="1549">
        <f ca="1">'2240'!J6</f>
        <v>0</v>
      </c>
      <c r="AB27" s="1549">
        <f ca="1">'2240'!K6</f>
        <v>0</v>
      </c>
      <c r="AC27" s="1549">
        <f ca="1">'2240'!L6</f>
        <v>0</v>
      </c>
      <c r="AD27" s="1549">
        <f ca="1">'2240'!M6</f>
        <v>0</v>
      </c>
      <c r="AE27" s="1549">
        <f ca="1">'2240'!N6</f>
        <v>0</v>
      </c>
      <c r="AF27" s="1414">
        <f t="shared" si="90"/>
        <v>0</v>
      </c>
      <c r="AG27" s="1414">
        <f t="shared" si="91"/>
        <v>0</v>
      </c>
      <c r="AH27" s="1414">
        <f t="shared" si="92"/>
        <v>0</v>
      </c>
      <c r="AI27" s="1414">
        <f t="shared" si="93"/>
        <v>0</v>
      </c>
      <c r="AJ27" s="1414">
        <f t="shared" si="94"/>
        <v>0</v>
      </c>
      <c r="AK27" s="1549"/>
      <c r="AL27" s="1549">
        <f t="shared" ref="AL27:AV27" si="123">AK27</f>
        <v>0</v>
      </c>
      <c r="AM27" s="1549">
        <f t="shared" si="123"/>
        <v>0</v>
      </c>
      <c r="AN27" s="1549">
        <f t="shared" si="123"/>
        <v>0</v>
      </c>
      <c r="AO27" s="1549">
        <f t="shared" si="123"/>
        <v>0</v>
      </c>
      <c r="AP27" s="1549">
        <f t="shared" si="123"/>
        <v>0</v>
      </c>
      <c r="AQ27" s="1549">
        <f t="shared" si="123"/>
        <v>0</v>
      </c>
      <c r="AR27" s="1549">
        <f t="shared" si="123"/>
        <v>0</v>
      </c>
      <c r="AS27" s="1549">
        <f t="shared" si="123"/>
        <v>0</v>
      </c>
      <c r="AT27" s="1549">
        <f t="shared" si="123"/>
        <v>0</v>
      </c>
      <c r="AU27" s="1549">
        <f t="shared" si="123"/>
        <v>0</v>
      </c>
      <c r="AV27" s="1549">
        <f t="shared" si="123"/>
        <v>0</v>
      </c>
      <c r="AW27" s="1414">
        <f t="shared" si="95"/>
        <v>0</v>
      </c>
      <c r="AX27" s="1414">
        <f t="shared" si="96"/>
        <v>0</v>
      </c>
      <c r="AY27" s="1414">
        <f t="shared" si="97"/>
        <v>0</v>
      </c>
      <c r="AZ27" s="1414">
        <f t="shared" si="98"/>
        <v>0</v>
      </c>
      <c r="BA27" s="1414">
        <f t="shared" si="99"/>
        <v>0</v>
      </c>
      <c r="BB27" s="1549"/>
      <c r="BC27" s="1549">
        <f t="shared" ref="BC27:BM27" si="124">BB27</f>
        <v>0</v>
      </c>
      <c r="BD27" s="1549">
        <f t="shared" si="124"/>
        <v>0</v>
      </c>
      <c r="BE27" s="1549">
        <f t="shared" si="124"/>
        <v>0</v>
      </c>
      <c r="BF27" s="1549">
        <f t="shared" si="124"/>
        <v>0</v>
      </c>
      <c r="BG27" s="1549">
        <f t="shared" si="124"/>
        <v>0</v>
      </c>
      <c r="BH27" s="1549">
        <f t="shared" si="124"/>
        <v>0</v>
      </c>
      <c r="BI27" s="1549">
        <f t="shared" si="124"/>
        <v>0</v>
      </c>
      <c r="BJ27" s="1549">
        <f t="shared" si="124"/>
        <v>0</v>
      </c>
      <c r="BK27" s="1549">
        <f t="shared" si="124"/>
        <v>0</v>
      </c>
      <c r="BL27" s="1549">
        <f t="shared" si="124"/>
        <v>0</v>
      </c>
      <c r="BM27" s="1549">
        <f t="shared" si="124"/>
        <v>0</v>
      </c>
      <c r="BN27" s="1414">
        <f t="shared" si="101"/>
        <v>0</v>
      </c>
      <c r="BO27" s="1414">
        <f t="shared" si="102"/>
        <v>0</v>
      </c>
      <c r="BP27" s="1414">
        <f t="shared" si="103"/>
        <v>0</v>
      </c>
      <c r="BQ27" s="1414">
        <f t="shared" si="104"/>
        <v>0</v>
      </c>
      <c r="BR27" s="1414">
        <f t="shared" si="105"/>
        <v>0</v>
      </c>
    </row>
    <row r="28" spans="1:72">
      <c r="A28" s="481"/>
      <c r="B28" s="162" t="s">
        <v>1577</v>
      </c>
      <c r="C28" s="158">
        <f t="shared" si="106"/>
        <v>0</v>
      </c>
      <c r="D28" s="158">
        <f t="shared" si="107"/>
        <v>0</v>
      </c>
      <c r="E28" s="158">
        <f t="shared" si="108"/>
        <v>0</v>
      </c>
      <c r="F28" s="158">
        <f t="shared" si="109"/>
        <v>0</v>
      </c>
      <c r="G28" s="158">
        <f t="shared" si="110"/>
        <v>0</v>
      </c>
      <c r="H28" s="158">
        <f t="shared" si="111"/>
        <v>0</v>
      </c>
      <c r="I28" s="158">
        <f t="shared" si="112"/>
        <v>0</v>
      </c>
      <c r="J28" s="158">
        <f t="shared" si="113"/>
        <v>0</v>
      </c>
      <c r="K28" s="158">
        <f t="shared" si="114"/>
        <v>0</v>
      </c>
      <c r="L28" s="158">
        <f t="shared" si="115"/>
        <v>0</v>
      </c>
      <c r="M28" s="158">
        <f t="shared" si="116"/>
        <v>0</v>
      </c>
      <c r="N28" s="158">
        <f t="shared" si="117"/>
        <v>0</v>
      </c>
      <c r="O28" s="1548">
        <f t="shared" si="118"/>
        <v>0</v>
      </c>
      <c r="P28" s="1548">
        <f t="shared" si="119"/>
        <v>0</v>
      </c>
      <c r="Q28" s="1548">
        <f t="shared" si="120"/>
        <v>0</v>
      </c>
      <c r="R28" s="1548">
        <f t="shared" si="121"/>
        <v>0</v>
      </c>
      <c r="S28" s="1557">
        <f t="shared" si="122"/>
        <v>0</v>
      </c>
      <c r="T28" s="1549">
        <f ca="1">'2240'!C7</f>
        <v>0</v>
      </c>
      <c r="U28" s="1549">
        <f ca="1">'2240'!D7</f>
        <v>0</v>
      </c>
      <c r="V28" s="1549">
        <f ca="1">'2240'!E7</f>
        <v>0</v>
      </c>
      <c r="W28" s="1549">
        <f ca="1">'2240'!F7</f>
        <v>0</v>
      </c>
      <c r="X28" s="1549">
        <f ca="1">'2240'!G7</f>
        <v>0</v>
      </c>
      <c r="Y28" s="1549">
        <f ca="1">'2240'!H7</f>
        <v>0</v>
      </c>
      <c r="Z28" s="1549">
        <f ca="1">'2240'!I7</f>
        <v>0</v>
      </c>
      <c r="AA28" s="1549">
        <f ca="1">'2240'!J7</f>
        <v>0</v>
      </c>
      <c r="AB28" s="1549">
        <f ca="1">'2240'!K7</f>
        <v>0</v>
      </c>
      <c r="AC28" s="1549">
        <f ca="1">'2240'!L7</f>
        <v>0</v>
      </c>
      <c r="AD28" s="1549">
        <f ca="1">'2240'!M7</f>
        <v>0</v>
      </c>
      <c r="AE28" s="1549">
        <f ca="1">'2240'!N7</f>
        <v>0</v>
      </c>
      <c r="AF28" s="1414">
        <f t="shared" si="90"/>
        <v>0</v>
      </c>
      <c r="AG28" s="1414">
        <f t="shared" si="91"/>
        <v>0</v>
      </c>
      <c r="AH28" s="1414">
        <f t="shared" si="92"/>
        <v>0</v>
      </c>
      <c r="AI28" s="1414">
        <f t="shared" si="93"/>
        <v>0</v>
      </c>
      <c r="AJ28" s="1414">
        <f t="shared" si="94"/>
        <v>0</v>
      </c>
      <c r="AK28" s="1549"/>
      <c r="AL28" s="1549">
        <f t="shared" ref="AL28:AV28" si="125">AK28</f>
        <v>0</v>
      </c>
      <c r="AM28" s="1549">
        <f t="shared" si="125"/>
        <v>0</v>
      </c>
      <c r="AN28" s="1549">
        <f t="shared" si="125"/>
        <v>0</v>
      </c>
      <c r="AO28" s="1549">
        <f t="shared" si="125"/>
        <v>0</v>
      </c>
      <c r="AP28" s="1549">
        <f t="shared" si="125"/>
        <v>0</v>
      </c>
      <c r="AQ28" s="1549">
        <f t="shared" si="125"/>
        <v>0</v>
      </c>
      <c r="AR28" s="1549">
        <f t="shared" si="125"/>
        <v>0</v>
      </c>
      <c r="AS28" s="1549">
        <f t="shared" si="125"/>
        <v>0</v>
      </c>
      <c r="AT28" s="1549">
        <f t="shared" si="125"/>
        <v>0</v>
      </c>
      <c r="AU28" s="1549">
        <f t="shared" si="125"/>
        <v>0</v>
      </c>
      <c r="AV28" s="1549">
        <f t="shared" si="125"/>
        <v>0</v>
      </c>
      <c r="AW28" s="1414">
        <f t="shared" si="95"/>
        <v>0</v>
      </c>
      <c r="AX28" s="1414">
        <f t="shared" si="96"/>
        <v>0</v>
      </c>
      <c r="AY28" s="1414">
        <f t="shared" si="97"/>
        <v>0</v>
      </c>
      <c r="AZ28" s="1414">
        <f t="shared" si="98"/>
        <v>0</v>
      </c>
      <c r="BA28" s="1414">
        <f t="shared" si="99"/>
        <v>0</v>
      </c>
      <c r="BB28" s="1549"/>
      <c r="BC28" s="1549">
        <f t="shared" ref="BC28:BM28" si="126">BB28</f>
        <v>0</v>
      </c>
      <c r="BD28" s="1549">
        <f t="shared" si="126"/>
        <v>0</v>
      </c>
      <c r="BE28" s="1549">
        <f t="shared" si="126"/>
        <v>0</v>
      </c>
      <c r="BF28" s="1549">
        <f t="shared" si="126"/>
        <v>0</v>
      </c>
      <c r="BG28" s="1549">
        <f t="shared" si="126"/>
        <v>0</v>
      </c>
      <c r="BH28" s="1549">
        <f t="shared" si="126"/>
        <v>0</v>
      </c>
      <c r="BI28" s="1549">
        <f t="shared" si="126"/>
        <v>0</v>
      </c>
      <c r="BJ28" s="1549">
        <f t="shared" si="126"/>
        <v>0</v>
      </c>
      <c r="BK28" s="1549">
        <f t="shared" si="126"/>
        <v>0</v>
      </c>
      <c r="BL28" s="1549">
        <f t="shared" si="126"/>
        <v>0</v>
      </c>
      <c r="BM28" s="1549">
        <f t="shared" si="126"/>
        <v>0</v>
      </c>
      <c r="BN28" s="1414">
        <f t="shared" si="101"/>
        <v>0</v>
      </c>
      <c r="BO28" s="1414">
        <f t="shared" si="102"/>
        <v>0</v>
      </c>
      <c r="BP28" s="1414">
        <f t="shared" si="103"/>
        <v>0</v>
      </c>
      <c r="BQ28" s="1414">
        <f t="shared" si="104"/>
        <v>0</v>
      </c>
      <c r="BR28" s="1414">
        <f t="shared" si="105"/>
        <v>0</v>
      </c>
    </row>
    <row r="29" spans="1:72">
      <c r="A29" s="481"/>
      <c r="B29" s="162" t="s">
        <v>1578</v>
      </c>
      <c r="C29" s="158">
        <f t="shared" si="106"/>
        <v>0</v>
      </c>
      <c r="D29" s="158">
        <f t="shared" si="107"/>
        <v>0</v>
      </c>
      <c r="E29" s="158">
        <f t="shared" si="108"/>
        <v>0</v>
      </c>
      <c r="F29" s="158">
        <f t="shared" si="109"/>
        <v>20000</v>
      </c>
      <c r="G29" s="158">
        <f t="shared" si="110"/>
        <v>0</v>
      </c>
      <c r="H29" s="158">
        <f t="shared" si="111"/>
        <v>0</v>
      </c>
      <c r="I29" s="158">
        <f t="shared" si="112"/>
        <v>0</v>
      </c>
      <c r="J29" s="158">
        <f t="shared" si="113"/>
        <v>0</v>
      </c>
      <c r="K29" s="158">
        <f t="shared" si="114"/>
        <v>0</v>
      </c>
      <c r="L29" s="158">
        <f t="shared" si="115"/>
        <v>0</v>
      </c>
      <c r="M29" s="158">
        <f t="shared" si="116"/>
        <v>0</v>
      </c>
      <c r="N29" s="158">
        <f t="shared" si="117"/>
        <v>0</v>
      </c>
      <c r="O29" s="1548">
        <f t="shared" si="118"/>
        <v>0</v>
      </c>
      <c r="P29" s="1548">
        <f t="shared" si="119"/>
        <v>20000</v>
      </c>
      <c r="Q29" s="1548">
        <f t="shared" si="120"/>
        <v>0</v>
      </c>
      <c r="R29" s="1548">
        <f t="shared" si="121"/>
        <v>0</v>
      </c>
      <c r="S29" s="1557">
        <f t="shared" si="122"/>
        <v>20000</v>
      </c>
      <c r="T29" s="1549">
        <f ca="1">'2240'!C8</f>
        <v>0</v>
      </c>
      <c r="U29" s="1549">
        <f ca="1">'2240'!D8</f>
        <v>0</v>
      </c>
      <c r="V29" s="1549">
        <f ca="1">'2240'!E8</f>
        <v>0</v>
      </c>
      <c r="W29" s="1549">
        <f ca="1">'2240'!F8</f>
        <v>20000</v>
      </c>
      <c r="X29" s="1549">
        <f ca="1">'2240'!G8</f>
        <v>0</v>
      </c>
      <c r="Y29" s="1549">
        <f ca="1">'2240'!H8</f>
        <v>0</v>
      </c>
      <c r="Z29" s="1549">
        <f ca="1">'2240'!I8</f>
        <v>0</v>
      </c>
      <c r="AA29" s="1549">
        <f ca="1">'2240'!J8</f>
        <v>0</v>
      </c>
      <c r="AB29" s="1549">
        <f ca="1">'2240'!K8</f>
        <v>0</v>
      </c>
      <c r="AC29" s="1549">
        <f ca="1">'2240'!L8</f>
        <v>0</v>
      </c>
      <c r="AD29" s="1549">
        <f ca="1">'2240'!M8</f>
        <v>0</v>
      </c>
      <c r="AE29" s="1549">
        <f ca="1">'2240'!N8</f>
        <v>0</v>
      </c>
      <c r="AF29" s="1414">
        <f t="shared" si="90"/>
        <v>0</v>
      </c>
      <c r="AG29" s="1414">
        <f t="shared" si="91"/>
        <v>20000</v>
      </c>
      <c r="AH29" s="1414">
        <f t="shared" si="92"/>
        <v>0</v>
      </c>
      <c r="AI29" s="1414">
        <f t="shared" si="93"/>
        <v>0</v>
      </c>
      <c r="AJ29" s="1414">
        <f t="shared" si="94"/>
        <v>20000</v>
      </c>
      <c r="AK29" s="1549"/>
      <c r="AL29" s="1549">
        <f t="shared" ref="AL29:AV29" si="127">AK29</f>
        <v>0</v>
      </c>
      <c r="AM29" s="1549">
        <f t="shared" si="127"/>
        <v>0</v>
      </c>
      <c r="AN29" s="1549">
        <f t="shared" si="127"/>
        <v>0</v>
      </c>
      <c r="AO29" s="1549">
        <f t="shared" si="127"/>
        <v>0</v>
      </c>
      <c r="AP29" s="1549">
        <f t="shared" si="127"/>
        <v>0</v>
      </c>
      <c r="AQ29" s="1549">
        <f t="shared" si="127"/>
        <v>0</v>
      </c>
      <c r="AR29" s="1549">
        <f t="shared" si="127"/>
        <v>0</v>
      </c>
      <c r="AS29" s="1549">
        <f t="shared" si="127"/>
        <v>0</v>
      </c>
      <c r="AT29" s="1549">
        <f t="shared" si="127"/>
        <v>0</v>
      </c>
      <c r="AU29" s="1549">
        <f t="shared" si="127"/>
        <v>0</v>
      </c>
      <c r="AV29" s="1549">
        <f t="shared" si="127"/>
        <v>0</v>
      </c>
      <c r="AW29" s="1414">
        <f t="shared" si="95"/>
        <v>0</v>
      </c>
      <c r="AX29" s="1414">
        <f t="shared" si="96"/>
        <v>0</v>
      </c>
      <c r="AY29" s="1414">
        <f t="shared" si="97"/>
        <v>0</v>
      </c>
      <c r="AZ29" s="1414">
        <f t="shared" si="98"/>
        <v>0</v>
      </c>
      <c r="BA29" s="1414">
        <f t="shared" si="99"/>
        <v>0</v>
      </c>
      <c r="BB29" s="1549"/>
      <c r="BC29" s="1549">
        <f t="shared" ref="BC29:BM29" si="128">BB29</f>
        <v>0</v>
      </c>
      <c r="BD29" s="1549">
        <f t="shared" si="128"/>
        <v>0</v>
      </c>
      <c r="BE29" s="1549">
        <f t="shared" si="128"/>
        <v>0</v>
      </c>
      <c r="BF29" s="1549">
        <f t="shared" si="128"/>
        <v>0</v>
      </c>
      <c r="BG29" s="1549">
        <f t="shared" si="128"/>
        <v>0</v>
      </c>
      <c r="BH29" s="1549">
        <f t="shared" si="128"/>
        <v>0</v>
      </c>
      <c r="BI29" s="1549">
        <f t="shared" si="128"/>
        <v>0</v>
      </c>
      <c r="BJ29" s="1549">
        <f t="shared" si="128"/>
        <v>0</v>
      </c>
      <c r="BK29" s="1549">
        <f t="shared" si="128"/>
        <v>0</v>
      </c>
      <c r="BL29" s="1549">
        <f t="shared" si="128"/>
        <v>0</v>
      </c>
      <c r="BM29" s="1549">
        <f t="shared" si="128"/>
        <v>0</v>
      </c>
      <c r="BN29" s="1414">
        <f t="shared" si="101"/>
        <v>0</v>
      </c>
      <c r="BO29" s="1414">
        <f t="shared" si="102"/>
        <v>0</v>
      </c>
      <c r="BP29" s="1414">
        <f t="shared" si="103"/>
        <v>0</v>
      </c>
      <c r="BQ29" s="1414">
        <f t="shared" si="104"/>
        <v>0</v>
      </c>
      <c r="BR29" s="1414">
        <f t="shared" si="105"/>
        <v>0</v>
      </c>
    </row>
    <row r="30" spans="1:72">
      <c r="A30" s="481"/>
      <c r="B30" s="162" t="s">
        <v>1751</v>
      </c>
      <c r="C30" s="158">
        <f t="shared" si="106"/>
        <v>0</v>
      </c>
      <c r="D30" s="158">
        <f t="shared" si="107"/>
        <v>0</v>
      </c>
      <c r="E30" s="158">
        <f t="shared" si="108"/>
        <v>0</v>
      </c>
      <c r="F30" s="158">
        <f t="shared" si="109"/>
        <v>0</v>
      </c>
      <c r="G30" s="158">
        <f t="shared" si="110"/>
        <v>0</v>
      </c>
      <c r="H30" s="158">
        <f t="shared" si="111"/>
        <v>0</v>
      </c>
      <c r="I30" s="158">
        <f t="shared" si="112"/>
        <v>0</v>
      </c>
      <c r="J30" s="158">
        <f t="shared" si="113"/>
        <v>3500</v>
      </c>
      <c r="K30" s="158">
        <f t="shared" si="114"/>
        <v>2250</v>
      </c>
      <c r="L30" s="158">
        <f t="shared" si="115"/>
        <v>0</v>
      </c>
      <c r="M30" s="158">
        <f t="shared" si="116"/>
        <v>0</v>
      </c>
      <c r="N30" s="158">
        <f t="shared" si="117"/>
        <v>0</v>
      </c>
      <c r="O30" s="1548">
        <f t="shared" si="118"/>
        <v>0</v>
      </c>
      <c r="P30" s="1548">
        <f t="shared" si="119"/>
        <v>0</v>
      </c>
      <c r="Q30" s="1548">
        <f t="shared" si="120"/>
        <v>5750</v>
      </c>
      <c r="R30" s="1548">
        <f t="shared" si="121"/>
        <v>0</v>
      </c>
      <c r="S30" s="1557">
        <f t="shared" si="122"/>
        <v>5750</v>
      </c>
      <c r="T30" s="1549">
        <f ca="1">'2240'!C9</f>
        <v>0</v>
      </c>
      <c r="U30" s="1549">
        <f ca="1">'2240'!D9</f>
        <v>0</v>
      </c>
      <c r="V30" s="1549">
        <f ca="1">'2240'!E9</f>
        <v>0</v>
      </c>
      <c r="W30" s="1549">
        <f ca="1">'2240'!F9</f>
        <v>0</v>
      </c>
      <c r="X30" s="1549">
        <f ca="1">'2240'!G9</f>
        <v>0</v>
      </c>
      <c r="Y30" s="1549">
        <f ca="1">'2240'!H9</f>
        <v>0</v>
      </c>
      <c r="Z30" s="1549">
        <f ca="1">'2240'!I9</f>
        <v>0</v>
      </c>
      <c r="AA30" s="1549">
        <f ca="1">'2240'!J9</f>
        <v>3500</v>
      </c>
      <c r="AB30" s="1549">
        <f ca="1">'2240'!K9</f>
        <v>2250</v>
      </c>
      <c r="AC30" s="1549">
        <f ca="1">'2240'!L9</f>
        <v>0</v>
      </c>
      <c r="AD30" s="1549">
        <f ca="1">'2240'!M9</f>
        <v>0</v>
      </c>
      <c r="AE30" s="1549">
        <f ca="1">'2240'!N9</f>
        <v>0</v>
      </c>
      <c r="AF30" s="1414">
        <f t="shared" si="90"/>
        <v>0</v>
      </c>
      <c r="AG30" s="1414">
        <f t="shared" si="91"/>
        <v>0</v>
      </c>
      <c r="AH30" s="1414">
        <f t="shared" si="92"/>
        <v>5750</v>
      </c>
      <c r="AI30" s="1414">
        <f t="shared" si="93"/>
        <v>0</v>
      </c>
      <c r="AJ30" s="1414">
        <f t="shared" si="94"/>
        <v>5750</v>
      </c>
      <c r="AK30" s="1549"/>
      <c r="AL30" s="1549">
        <f t="shared" ref="AL30:AV30" si="129">AK30</f>
        <v>0</v>
      </c>
      <c r="AM30" s="1549">
        <f t="shared" si="129"/>
        <v>0</v>
      </c>
      <c r="AN30" s="1549">
        <f t="shared" si="129"/>
        <v>0</v>
      </c>
      <c r="AO30" s="1549">
        <f t="shared" si="129"/>
        <v>0</v>
      </c>
      <c r="AP30" s="1549">
        <f t="shared" si="129"/>
        <v>0</v>
      </c>
      <c r="AQ30" s="1549">
        <f t="shared" si="129"/>
        <v>0</v>
      </c>
      <c r="AR30" s="1549">
        <f t="shared" si="129"/>
        <v>0</v>
      </c>
      <c r="AS30" s="1549">
        <f t="shared" si="129"/>
        <v>0</v>
      </c>
      <c r="AT30" s="1549">
        <f t="shared" si="129"/>
        <v>0</v>
      </c>
      <c r="AU30" s="1549">
        <f t="shared" si="129"/>
        <v>0</v>
      </c>
      <c r="AV30" s="1549">
        <f t="shared" si="129"/>
        <v>0</v>
      </c>
      <c r="AW30" s="1414">
        <f t="shared" si="95"/>
        <v>0</v>
      </c>
      <c r="AX30" s="1414">
        <f t="shared" si="96"/>
        <v>0</v>
      </c>
      <c r="AY30" s="1414">
        <f t="shared" si="97"/>
        <v>0</v>
      </c>
      <c r="AZ30" s="1414">
        <f t="shared" si="98"/>
        <v>0</v>
      </c>
      <c r="BA30" s="1414">
        <f t="shared" si="99"/>
        <v>0</v>
      </c>
      <c r="BB30" s="1549"/>
      <c r="BC30" s="1549">
        <f t="shared" ref="BC30:BM30" si="130">BB30</f>
        <v>0</v>
      </c>
      <c r="BD30" s="1549">
        <f t="shared" si="130"/>
        <v>0</v>
      </c>
      <c r="BE30" s="1549">
        <f t="shared" si="130"/>
        <v>0</v>
      </c>
      <c r="BF30" s="1549">
        <f t="shared" si="130"/>
        <v>0</v>
      </c>
      <c r="BG30" s="1549">
        <f t="shared" si="130"/>
        <v>0</v>
      </c>
      <c r="BH30" s="1549">
        <f t="shared" si="130"/>
        <v>0</v>
      </c>
      <c r="BI30" s="1549">
        <f t="shared" si="130"/>
        <v>0</v>
      </c>
      <c r="BJ30" s="1549">
        <f t="shared" si="130"/>
        <v>0</v>
      </c>
      <c r="BK30" s="1549">
        <f t="shared" si="130"/>
        <v>0</v>
      </c>
      <c r="BL30" s="1549">
        <f t="shared" si="130"/>
        <v>0</v>
      </c>
      <c r="BM30" s="1549">
        <f t="shared" si="130"/>
        <v>0</v>
      </c>
      <c r="BN30" s="1414">
        <f t="shared" si="101"/>
        <v>0</v>
      </c>
      <c r="BO30" s="1414">
        <f t="shared" si="102"/>
        <v>0</v>
      </c>
      <c r="BP30" s="1414">
        <f t="shared" si="103"/>
        <v>0</v>
      </c>
      <c r="BQ30" s="1414">
        <f t="shared" si="104"/>
        <v>0</v>
      </c>
      <c r="BR30" s="1414">
        <f t="shared" si="105"/>
        <v>0</v>
      </c>
    </row>
    <row r="31" spans="1:72">
      <c r="A31" s="481"/>
      <c r="B31" s="162" t="s">
        <v>1579</v>
      </c>
      <c r="C31" s="158">
        <f t="shared" si="106"/>
        <v>0</v>
      </c>
      <c r="D31" s="158">
        <f t="shared" si="107"/>
        <v>0</v>
      </c>
      <c r="E31" s="158">
        <f t="shared" si="108"/>
        <v>50000</v>
      </c>
      <c r="F31" s="158">
        <f t="shared" si="109"/>
        <v>0</v>
      </c>
      <c r="G31" s="158">
        <f t="shared" si="110"/>
        <v>0</v>
      </c>
      <c r="H31" s="158">
        <f t="shared" si="111"/>
        <v>50000</v>
      </c>
      <c r="I31" s="158">
        <f t="shared" si="112"/>
        <v>0</v>
      </c>
      <c r="J31" s="158">
        <f t="shared" si="113"/>
        <v>0</v>
      </c>
      <c r="K31" s="158">
        <f t="shared" si="114"/>
        <v>50000</v>
      </c>
      <c r="L31" s="158">
        <f t="shared" si="115"/>
        <v>0</v>
      </c>
      <c r="M31" s="158">
        <f t="shared" si="116"/>
        <v>0</v>
      </c>
      <c r="N31" s="158">
        <f t="shared" si="117"/>
        <v>0</v>
      </c>
      <c r="O31" s="1548">
        <f t="shared" si="118"/>
        <v>50000</v>
      </c>
      <c r="P31" s="1548">
        <f t="shared" si="119"/>
        <v>50000</v>
      </c>
      <c r="Q31" s="1548">
        <f t="shared" si="120"/>
        <v>50000</v>
      </c>
      <c r="R31" s="1548">
        <f t="shared" si="121"/>
        <v>0</v>
      </c>
      <c r="S31" s="1557">
        <f t="shared" si="122"/>
        <v>150000</v>
      </c>
      <c r="T31" s="1549">
        <f ca="1">'2240'!C10</f>
        <v>0</v>
      </c>
      <c r="U31" s="1549">
        <f ca="1">'2240'!D10</f>
        <v>0</v>
      </c>
      <c r="V31" s="1549">
        <f ca="1">'2240'!E10</f>
        <v>50000</v>
      </c>
      <c r="W31" s="1549">
        <f ca="1">'2240'!F10</f>
        <v>0</v>
      </c>
      <c r="X31" s="1549">
        <f ca="1">'2240'!G10</f>
        <v>0</v>
      </c>
      <c r="Y31" s="1549">
        <f ca="1">'2240'!H10</f>
        <v>50000</v>
      </c>
      <c r="Z31" s="1549">
        <f ca="1">'2240'!I10</f>
        <v>0</v>
      </c>
      <c r="AA31" s="1549">
        <f ca="1">'2240'!J10</f>
        <v>0</v>
      </c>
      <c r="AB31" s="1549">
        <f ca="1">'2240'!K10</f>
        <v>50000</v>
      </c>
      <c r="AC31" s="1549">
        <f ca="1">'2240'!L10</f>
        <v>0</v>
      </c>
      <c r="AD31" s="1549">
        <f ca="1">'2240'!M10</f>
        <v>0</v>
      </c>
      <c r="AE31" s="1549">
        <f ca="1">'2240'!N10</f>
        <v>0</v>
      </c>
      <c r="AF31" s="1414">
        <f t="shared" si="90"/>
        <v>50000</v>
      </c>
      <c r="AG31" s="1414">
        <f t="shared" si="91"/>
        <v>50000</v>
      </c>
      <c r="AH31" s="1414">
        <f t="shared" si="92"/>
        <v>50000</v>
      </c>
      <c r="AI31" s="1414">
        <f t="shared" si="93"/>
        <v>0</v>
      </c>
      <c r="AJ31" s="1414">
        <f t="shared" si="94"/>
        <v>150000</v>
      </c>
      <c r="AK31" s="1549"/>
      <c r="AL31" s="1549">
        <f t="shared" ref="AL31:AV31" si="131">AK31</f>
        <v>0</v>
      </c>
      <c r="AM31" s="1549">
        <f t="shared" si="131"/>
        <v>0</v>
      </c>
      <c r="AN31" s="1549">
        <f t="shared" si="131"/>
        <v>0</v>
      </c>
      <c r="AO31" s="1549">
        <f t="shared" si="131"/>
        <v>0</v>
      </c>
      <c r="AP31" s="1549">
        <f t="shared" si="131"/>
        <v>0</v>
      </c>
      <c r="AQ31" s="1549">
        <f t="shared" si="131"/>
        <v>0</v>
      </c>
      <c r="AR31" s="1549">
        <f t="shared" si="131"/>
        <v>0</v>
      </c>
      <c r="AS31" s="1549">
        <f t="shared" si="131"/>
        <v>0</v>
      </c>
      <c r="AT31" s="1549">
        <f t="shared" si="131"/>
        <v>0</v>
      </c>
      <c r="AU31" s="1549">
        <f t="shared" si="131"/>
        <v>0</v>
      </c>
      <c r="AV31" s="1549">
        <f t="shared" si="131"/>
        <v>0</v>
      </c>
      <c r="AW31" s="1414">
        <f t="shared" si="95"/>
        <v>0</v>
      </c>
      <c r="AX31" s="1414">
        <f t="shared" si="96"/>
        <v>0</v>
      </c>
      <c r="AY31" s="1414">
        <f t="shared" si="97"/>
        <v>0</v>
      </c>
      <c r="AZ31" s="1414">
        <f t="shared" si="98"/>
        <v>0</v>
      </c>
      <c r="BA31" s="1414">
        <f t="shared" si="99"/>
        <v>0</v>
      </c>
      <c r="BB31" s="1549"/>
      <c r="BC31" s="1549">
        <f t="shared" ref="BC31:BM31" si="132">BB31</f>
        <v>0</v>
      </c>
      <c r="BD31" s="1549">
        <f t="shared" si="132"/>
        <v>0</v>
      </c>
      <c r="BE31" s="1549">
        <f t="shared" si="132"/>
        <v>0</v>
      </c>
      <c r="BF31" s="1549">
        <f t="shared" si="132"/>
        <v>0</v>
      </c>
      <c r="BG31" s="1549">
        <f t="shared" si="132"/>
        <v>0</v>
      </c>
      <c r="BH31" s="1549">
        <f t="shared" si="132"/>
        <v>0</v>
      </c>
      <c r="BI31" s="1549">
        <f t="shared" si="132"/>
        <v>0</v>
      </c>
      <c r="BJ31" s="1549">
        <f t="shared" si="132"/>
        <v>0</v>
      </c>
      <c r="BK31" s="1549">
        <f t="shared" si="132"/>
        <v>0</v>
      </c>
      <c r="BL31" s="1549">
        <f t="shared" si="132"/>
        <v>0</v>
      </c>
      <c r="BM31" s="1549">
        <f t="shared" si="132"/>
        <v>0</v>
      </c>
      <c r="BN31" s="1414">
        <f t="shared" si="101"/>
        <v>0</v>
      </c>
      <c r="BO31" s="1414">
        <f t="shared" si="102"/>
        <v>0</v>
      </c>
      <c r="BP31" s="1414">
        <f t="shared" si="103"/>
        <v>0</v>
      </c>
      <c r="BQ31" s="1414">
        <f t="shared" si="104"/>
        <v>0</v>
      </c>
      <c r="BR31" s="1414">
        <f t="shared" si="105"/>
        <v>0</v>
      </c>
    </row>
    <row r="32" spans="1:72">
      <c r="A32" s="481"/>
      <c r="B32" s="163" t="s">
        <v>1580</v>
      </c>
      <c r="C32" s="158">
        <f t="shared" si="106"/>
        <v>0</v>
      </c>
      <c r="D32" s="158">
        <f t="shared" si="107"/>
        <v>0</v>
      </c>
      <c r="E32" s="158">
        <f t="shared" si="108"/>
        <v>0</v>
      </c>
      <c r="F32" s="158">
        <f t="shared" si="109"/>
        <v>0</v>
      </c>
      <c r="G32" s="158">
        <f t="shared" si="110"/>
        <v>0</v>
      </c>
      <c r="H32" s="158">
        <f t="shared" si="111"/>
        <v>0</v>
      </c>
      <c r="I32" s="158">
        <f t="shared" si="112"/>
        <v>0</v>
      </c>
      <c r="J32" s="158">
        <f t="shared" si="113"/>
        <v>0</v>
      </c>
      <c r="K32" s="158">
        <f t="shared" si="114"/>
        <v>0</v>
      </c>
      <c r="L32" s="158">
        <f t="shared" si="115"/>
        <v>0</v>
      </c>
      <c r="M32" s="158">
        <f t="shared" si="116"/>
        <v>0</v>
      </c>
      <c r="N32" s="158">
        <f t="shared" si="117"/>
        <v>0</v>
      </c>
      <c r="O32" s="1548">
        <f t="shared" si="118"/>
        <v>0</v>
      </c>
      <c r="P32" s="1548">
        <f t="shared" si="119"/>
        <v>0</v>
      </c>
      <c r="Q32" s="1548">
        <f t="shared" si="120"/>
        <v>0</v>
      </c>
      <c r="R32" s="1548">
        <f t="shared" si="121"/>
        <v>0</v>
      </c>
      <c r="S32" s="1557">
        <f t="shared" si="122"/>
        <v>0</v>
      </c>
      <c r="T32" s="1549">
        <f ca="1">'2240'!C11</f>
        <v>0</v>
      </c>
      <c r="U32" s="1549">
        <f ca="1">'2240'!D11</f>
        <v>0</v>
      </c>
      <c r="V32" s="1549">
        <f ca="1">'2240'!E11</f>
        <v>0</v>
      </c>
      <c r="W32" s="1549">
        <f ca="1">'2240'!F11</f>
        <v>0</v>
      </c>
      <c r="X32" s="1549">
        <f ca="1">'2240'!G11</f>
        <v>0</v>
      </c>
      <c r="Y32" s="1549">
        <f ca="1">'2240'!H11</f>
        <v>0</v>
      </c>
      <c r="Z32" s="1549">
        <f ca="1">'2240'!I11</f>
        <v>0</v>
      </c>
      <c r="AA32" s="1549">
        <f ca="1">'2240'!J11</f>
        <v>0</v>
      </c>
      <c r="AB32" s="1549">
        <f ca="1">'2240'!K11</f>
        <v>0</v>
      </c>
      <c r="AC32" s="1549">
        <f ca="1">'2240'!L11</f>
        <v>0</v>
      </c>
      <c r="AD32" s="1549">
        <f ca="1">'2240'!M11</f>
        <v>0</v>
      </c>
      <c r="AE32" s="1549">
        <f ca="1">'2240'!N11</f>
        <v>0</v>
      </c>
      <c r="AF32" s="1414">
        <f t="shared" si="90"/>
        <v>0</v>
      </c>
      <c r="AG32" s="1414">
        <f t="shared" si="91"/>
        <v>0</v>
      </c>
      <c r="AH32" s="1414">
        <f t="shared" si="92"/>
        <v>0</v>
      </c>
      <c r="AI32" s="1414">
        <f t="shared" si="93"/>
        <v>0</v>
      </c>
      <c r="AJ32" s="1414">
        <f t="shared" si="94"/>
        <v>0</v>
      </c>
      <c r="AK32" s="1549"/>
      <c r="AL32" s="1549">
        <f t="shared" ref="AL32:AV34" si="133">AK32</f>
        <v>0</v>
      </c>
      <c r="AM32" s="1549">
        <f t="shared" si="133"/>
        <v>0</v>
      </c>
      <c r="AN32" s="1549">
        <f t="shared" si="133"/>
        <v>0</v>
      </c>
      <c r="AO32" s="1549">
        <f t="shared" si="133"/>
        <v>0</v>
      </c>
      <c r="AP32" s="1549">
        <f t="shared" si="133"/>
        <v>0</v>
      </c>
      <c r="AQ32" s="1549">
        <f t="shared" si="133"/>
        <v>0</v>
      </c>
      <c r="AR32" s="1549">
        <f t="shared" si="133"/>
        <v>0</v>
      </c>
      <c r="AS32" s="1549">
        <f t="shared" si="133"/>
        <v>0</v>
      </c>
      <c r="AT32" s="1549">
        <f t="shared" si="133"/>
        <v>0</v>
      </c>
      <c r="AU32" s="1549">
        <f t="shared" si="133"/>
        <v>0</v>
      </c>
      <c r="AV32" s="1549">
        <f t="shared" si="133"/>
        <v>0</v>
      </c>
      <c r="AW32" s="1414">
        <f t="shared" si="95"/>
        <v>0</v>
      </c>
      <c r="AX32" s="1414">
        <f t="shared" si="96"/>
        <v>0</v>
      </c>
      <c r="AY32" s="1414">
        <f t="shared" si="97"/>
        <v>0</v>
      </c>
      <c r="AZ32" s="1414">
        <f t="shared" si="98"/>
        <v>0</v>
      </c>
      <c r="BA32" s="1414">
        <f t="shared" si="99"/>
        <v>0</v>
      </c>
      <c r="BB32" s="1549"/>
      <c r="BC32" s="1549">
        <f t="shared" ref="BC32:BM32" si="134">BB32</f>
        <v>0</v>
      </c>
      <c r="BD32" s="1549">
        <f t="shared" si="134"/>
        <v>0</v>
      </c>
      <c r="BE32" s="1549">
        <f t="shared" si="134"/>
        <v>0</v>
      </c>
      <c r="BF32" s="1549">
        <f t="shared" si="134"/>
        <v>0</v>
      </c>
      <c r="BG32" s="1549">
        <f t="shared" si="134"/>
        <v>0</v>
      </c>
      <c r="BH32" s="1549">
        <f t="shared" si="134"/>
        <v>0</v>
      </c>
      <c r="BI32" s="1549">
        <f t="shared" si="134"/>
        <v>0</v>
      </c>
      <c r="BJ32" s="1549">
        <f t="shared" si="134"/>
        <v>0</v>
      </c>
      <c r="BK32" s="1549">
        <f t="shared" si="134"/>
        <v>0</v>
      </c>
      <c r="BL32" s="1549">
        <f t="shared" si="134"/>
        <v>0</v>
      </c>
      <c r="BM32" s="1549">
        <f t="shared" si="134"/>
        <v>0</v>
      </c>
      <c r="BN32" s="1414">
        <f t="shared" si="101"/>
        <v>0</v>
      </c>
      <c r="BO32" s="1414">
        <f t="shared" si="102"/>
        <v>0</v>
      </c>
      <c r="BP32" s="1414">
        <f t="shared" si="103"/>
        <v>0</v>
      </c>
      <c r="BQ32" s="1414">
        <f t="shared" si="104"/>
        <v>0</v>
      </c>
      <c r="BR32" s="1414">
        <f t="shared" si="105"/>
        <v>0</v>
      </c>
    </row>
    <row r="33" spans="1:70">
      <c r="A33" s="480"/>
      <c r="B33" s="160" t="s">
        <v>437</v>
      </c>
      <c r="C33" s="156">
        <f>SUM(C34,C35,C36,C37,C38,C44,C45,C46,C47,C48,C49,C50,C51,C52,C54,C53)</f>
        <v>60701.666666666664</v>
      </c>
      <c r="D33" s="156">
        <f t="shared" ref="D33:R33" si="135">SUM(D34,D35,D36,D37,D38,D44,D45,D46,D47,D48,D49,D50,D51,D52,D54,D53)</f>
        <v>79486.07666666666</v>
      </c>
      <c r="E33" s="156">
        <f t="shared" si="135"/>
        <v>138612.50666666665</v>
      </c>
      <c r="F33" s="156">
        <f t="shared" si="135"/>
        <v>70976.306666666671</v>
      </c>
      <c r="G33" s="156">
        <f t="shared" si="135"/>
        <v>81443.366666666669</v>
      </c>
      <c r="H33" s="156">
        <f t="shared" si="135"/>
        <v>110624.24666666667</v>
      </c>
      <c r="I33" s="156">
        <f t="shared" si="135"/>
        <v>100124.19666666667</v>
      </c>
      <c r="J33" s="156">
        <f t="shared" si="135"/>
        <v>49231.876666666663</v>
      </c>
      <c r="K33" s="156">
        <f t="shared" si="135"/>
        <v>104588.64666666667</v>
      </c>
      <c r="L33" s="156">
        <f t="shared" si="135"/>
        <v>78547.106666666674</v>
      </c>
      <c r="M33" s="156">
        <f t="shared" si="135"/>
        <v>68769.876666666663</v>
      </c>
      <c r="N33" s="156">
        <f t="shared" si="135"/>
        <v>100137.78666666667</v>
      </c>
      <c r="O33" s="1547">
        <f>SUM(O34,O35,O36,O37,O38,O44,O45,O46,O47,O48,O49,O50,O51,O52,O54,O53)</f>
        <v>278800.25</v>
      </c>
      <c r="P33" s="1547">
        <f t="shared" si="135"/>
        <v>263043.92000000004</v>
      </c>
      <c r="Q33" s="1547">
        <f t="shared" si="135"/>
        <v>253944.72</v>
      </c>
      <c r="R33" s="1547">
        <f t="shared" si="135"/>
        <v>247454.77</v>
      </c>
      <c r="S33" s="1547">
        <f>SUM(S34,S35,S36,S37,S38,S44,S45,S46,S47,S48,S49,S50,S51,S52,S54,S53)</f>
        <v>1043243.66</v>
      </c>
      <c r="T33" s="1413">
        <f ca="1">SUM(T34,T35,T36,T37,T38,T44,T45,T46,T47,T48,T49,T50,T51,T52,T54,T53)</f>
        <v>36601.666666666664</v>
      </c>
      <c r="U33" s="1413">
        <f ca="1">SUM(U34,U35,U36,U37,U38,U44,U45,U46,U47,U48,U49,U50,U51,U52,U54,U53)</f>
        <v>64386.07666666666</v>
      </c>
      <c r="V33" s="1413">
        <f t="shared" ref="V33:AI33" si="136">SUM(V34,V35,V36,V37,V38,V44,V45,V46,V47,V48,V49,V50,V51,V52,V54,V53)</f>
        <v>111462.50666666667</v>
      </c>
      <c r="W33" s="1413">
        <f t="shared" si="136"/>
        <v>39476.306666666664</v>
      </c>
      <c r="X33" s="1413">
        <f t="shared" si="136"/>
        <v>57713.366666666661</v>
      </c>
      <c r="Y33" s="1413">
        <f t="shared" si="136"/>
        <v>99284.246666666673</v>
      </c>
      <c r="Z33" s="1413">
        <f t="shared" si="136"/>
        <v>87004.19666666667</v>
      </c>
      <c r="AA33" s="1413">
        <f t="shared" si="136"/>
        <v>40621.876666666663</v>
      </c>
      <c r="AB33" s="1413">
        <f t="shared" si="136"/>
        <v>88448.646666666667</v>
      </c>
      <c r="AC33" s="1413">
        <f t="shared" si="136"/>
        <v>69427.106666666674</v>
      </c>
      <c r="AD33" s="1413">
        <f t="shared" si="136"/>
        <v>52659.876666666663</v>
      </c>
      <c r="AE33" s="1413">
        <f t="shared" si="136"/>
        <v>64940.876666666663</v>
      </c>
      <c r="AF33" s="1413">
        <f t="shared" si="136"/>
        <v>212450.25</v>
      </c>
      <c r="AG33" s="1413">
        <f t="shared" si="136"/>
        <v>196473.92</v>
      </c>
      <c r="AH33" s="1413">
        <f t="shared" si="136"/>
        <v>216074.72</v>
      </c>
      <c r="AI33" s="1413">
        <f t="shared" si="136"/>
        <v>187027.86</v>
      </c>
      <c r="AJ33" s="1413">
        <f>SUM(AJ34,AJ35,AJ36,AJ37,AJ38,AJ44,AJ45,AJ46,AJ47,AJ48,AJ49,AJ50,AJ51,AJ52,AJ54,AJ53)</f>
        <v>812026.75</v>
      </c>
      <c r="AK33" s="1413">
        <f>SUM(AK34,AK35,AK36,AK37,AK38,AK44,AK45,AK46,AK47,AK48,AK49,AK50,AK51,AK52,AK54,AK53)</f>
        <v>24100</v>
      </c>
      <c r="AL33" s="1413">
        <f t="shared" ref="AL33:BA33" si="137">SUM(AL34,AL35,AL36,AL37,AL38,AL44,AL45,AL46,AL47,AL48,AL49,AL50,AL51,AL52,AL54,AL53)</f>
        <v>15100</v>
      </c>
      <c r="AM33" s="1413">
        <f t="shared" si="137"/>
        <v>27150</v>
      </c>
      <c r="AN33" s="1413">
        <f t="shared" si="137"/>
        <v>31500</v>
      </c>
      <c r="AO33" s="1413">
        <f t="shared" si="137"/>
        <v>23730</v>
      </c>
      <c r="AP33" s="1413">
        <f t="shared" si="137"/>
        <v>11340</v>
      </c>
      <c r="AQ33" s="1413">
        <f t="shared" si="137"/>
        <v>13120</v>
      </c>
      <c r="AR33" s="1413">
        <f t="shared" si="137"/>
        <v>8610</v>
      </c>
      <c r="AS33" s="1413">
        <f t="shared" si="137"/>
        <v>16140</v>
      </c>
      <c r="AT33" s="1413">
        <f t="shared" si="137"/>
        <v>9120</v>
      </c>
      <c r="AU33" s="1413">
        <f t="shared" si="137"/>
        <v>16110</v>
      </c>
      <c r="AV33" s="1413">
        <f t="shared" si="137"/>
        <v>35196.910000000003</v>
      </c>
      <c r="AW33" s="1413">
        <f t="shared" si="137"/>
        <v>66350</v>
      </c>
      <c r="AX33" s="1413">
        <f t="shared" si="137"/>
        <v>66570</v>
      </c>
      <c r="AY33" s="1413">
        <f t="shared" si="137"/>
        <v>37870</v>
      </c>
      <c r="AZ33" s="1413">
        <f t="shared" si="137"/>
        <v>60426.91</v>
      </c>
      <c r="BA33" s="1413">
        <f t="shared" si="137"/>
        <v>231216.91</v>
      </c>
      <c r="BB33" s="1413">
        <f>SUM(BB34,BB35,BB36,BB37,BB38,BB44,BB45,BB46,BB47,BB48,BB49,BB50,BB51,BB52,BB54,BB53)</f>
        <v>0</v>
      </c>
      <c r="BC33" s="1413">
        <f t="shared" ref="BC33:BM33" si="138">SUM(BC34,BC35,BC36,BC37,BC38,BC44,BC45,BC46,BC47,BC48,BC49,BC50,BC51,BC52,BC54,BC53)</f>
        <v>0</v>
      </c>
      <c r="BD33" s="1413">
        <f t="shared" si="138"/>
        <v>0</v>
      </c>
      <c r="BE33" s="1413">
        <f t="shared" si="138"/>
        <v>0</v>
      </c>
      <c r="BF33" s="1413">
        <f t="shared" si="138"/>
        <v>0</v>
      </c>
      <c r="BG33" s="1413">
        <f t="shared" si="138"/>
        <v>0</v>
      </c>
      <c r="BH33" s="1413">
        <f t="shared" si="138"/>
        <v>0</v>
      </c>
      <c r="BI33" s="1413">
        <f t="shared" si="138"/>
        <v>0</v>
      </c>
      <c r="BJ33" s="1413">
        <f t="shared" si="138"/>
        <v>0</v>
      </c>
      <c r="BK33" s="1413">
        <f t="shared" si="138"/>
        <v>0</v>
      </c>
      <c r="BL33" s="1413">
        <f t="shared" si="138"/>
        <v>0</v>
      </c>
      <c r="BM33" s="1413">
        <f t="shared" si="138"/>
        <v>0</v>
      </c>
      <c r="BN33" s="1413">
        <f>SUM(BN34,BN35,BN36,BN37,BN38,BN44,BN45,BN46,BN47,BN48,BN49,BN50,BN51,BN52,BN54,BN53)</f>
        <v>0</v>
      </c>
      <c r="BO33" s="1413">
        <f>SUM(BO34,BO35,BO36,BO37,BO38,BO44,BO45,BO46,BO47,BO48,BO49,BO50,BO51,BO52,BO54,BO53)</f>
        <v>0</v>
      </c>
      <c r="BP33" s="1413">
        <f>SUM(BP34,BP35,BP36,BP37,BP38,BP44,BP45,BP46,BP47,BP48,BP49,BP50,BP51,BP52,BP54,BP53)</f>
        <v>0</v>
      </c>
      <c r="BQ33" s="1413">
        <f>SUM(BQ34,BQ35,BQ36,BQ37,BQ38,BQ44,BQ45,BQ46,BQ47,BQ48,BQ49,BQ50,BQ51,BQ52,BQ54,BQ53)</f>
        <v>0</v>
      </c>
      <c r="BR33" s="1413">
        <f>SUM(BR34,BR35,BR36,BR37,BR38,BR44,BR45,BR46,BR47,BR48,BR49,BR50,BR51,BR52,BR54,BR53)</f>
        <v>0</v>
      </c>
    </row>
    <row r="34" spans="1:70">
      <c r="A34" s="481"/>
      <c r="B34" s="159" t="s">
        <v>1948</v>
      </c>
      <c r="C34" s="158">
        <f t="shared" ref="C34:N37" si="139">T34+AK34+BB34</f>
        <v>10000</v>
      </c>
      <c r="D34" s="158">
        <f t="shared" si="139"/>
        <v>0</v>
      </c>
      <c r="E34" s="158">
        <f t="shared" si="139"/>
        <v>0</v>
      </c>
      <c r="F34" s="158">
        <f t="shared" si="139"/>
        <v>0</v>
      </c>
      <c r="G34" s="158">
        <f t="shared" si="139"/>
        <v>0</v>
      </c>
      <c r="H34" s="158">
        <f t="shared" si="139"/>
        <v>0</v>
      </c>
      <c r="I34" s="158">
        <f t="shared" si="139"/>
        <v>0</v>
      </c>
      <c r="J34" s="158">
        <f t="shared" si="139"/>
        <v>0</v>
      </c>
      <c r="K34" s="158">
        <f t="shared" si="139"/>
        <v>0</v>
      </c>
      <c r="L34" s="158">
        <f t="shared" si="139"/>
        <v>0</v>
      </c>
      <c r="M34" s="158">
        <f t="shared" si="139"/>
        <v>0</v>
      </c>
      <c r="N34" s="158">
        <f t="shared" si="139"/>
        <v>0</v>
      </c>
      <c r="O34" s="1548">
        <f>SUM(C34:E34)</f>
        <v>10000</v>
      </c>
      <c r="P34" s="1548">
        <f>SUM(F34:H34)</f>
        <v>0</v>
      </c>
      <c r="Q34" s="1548">
        <f>SUM(I34:K34)</f>
        <v>0</v>
      </c>
      <c r="R34" s="1548">
        <f>SUM(L34:N34)</f>
        <v>0</v>
      </c>
      <c r="S34" s="1548">
        <f>O34+P34+Q34+R34</f>
        <v>10000</v>
      </c>
      <c r="T34" s="1549">
        <f ca="1">'2240'!C13</f>
        <v>10000</v>
      </c>
      <c r="U34" s="1549">
        <f ca="1">'2240'!D13</f>
        <v>0</v>
      </c>
      <c r="V34" s="1549">
        <f ca="1">'2240'!E13</f>
        <v>0</v>
      </c>
      <c r="W34" s="1549">
        <f ca="1">'2240'!F13</f>
        <v>0</v>
      </c>
      <c r="X34" s="1549">
        <f ca="1">'2240'!G13</f>
        <v>0</v>
      </c>
      <c r="Y34" s="1549">
        <f ca="1">'2240'!H13</f>
        <v>0</v>
      </c>
      <c r="Z34" s="1549">
        <f ca="1">'2240'!I13</f>
        <v>0</v>
      </c>
      <c r="AA34" s="1549">
        <f ca="1">'2240'!J13</f>
        <v>0</v>
      </c>
      <c r="AB34" s="1549">
        <f ca="1">'2240'!K13</f>
        <v>0</v>
      </c>
      <c r="AC34" s="1549">
        <f ca="1">'2240'!L13</f>
        <v>0</v>
      </c>
      <c r="AD34" s="1549">
        <f ca="1">'2240'!M13</f>
        <v>0</v>
      </c>
      <c r="AE34" s="1549">
        <f ca="1">'2240'!N13</f>
        <v>0</v>
      </c>
      <c r="AF34" s="1414">
        <f>SUM(T34:V34)</f>
        <v>10000</v>
      </c>
      <c r="AG34" s="1414">
        <f>SUM(W34:Y34)</f>
        <v>0</v>
      </c>
      <c r="AH34" s="1414">
        <f>SUM(Z34:AB34)</f>
        <v>0</v>
      </c>
      <c r="AI34" s="1414">
        <f>SUM(AC34:AE34)</f>
        <v>0</v>
      </c>
      <c r="AJ34" s="1414">
        <f>AF34+AG34+AH34+AI34</f>
        <v>10000</v>
      </c>
      <c r="AK34" s="1549"/>
      <c r="AL34" s="1549">
        <f t="shared" si="133"/>
        <v>0</v>
      </c>
      <c r="AM34" s="1549">
        <f t="shared" si="133"/>
        <v>0</v>
      </c>
      <c r="AN34" s="1549">
        <f t="shared" si="133"/>
        <v>0</v>
      </c>
      <c r="AO34" s="1549">
        <f t="shared" si="133"/>
        <v>0</v>
      </c>
      <c r="AP34" s="1549">
        <f t="shared" si="133"/>
        <v>0</v>
      </c>
      <c r="AQ34" s="1549">
        <f t="shared" si="133"/>
        <v>0</v>
      </c>
      <c r="AR34" s="1549">
        <f t="shared" si="133"/>
        <v>0</v>
      </c>
      <c r="AS34" s="1549">
        <f t="shared" si="133"/>
        <v>0</v>
      </c>
      <c r="AT34" s="1549">
        <f t="shared" si="133"/>
        <v>0</v>
      </c>
      <c r="AU34" s="1549">
        <f t="shared" si="133"/>
        <v>0</v>
      </c>
      <c r="AV34" s="1549">
        <f t="shared" si="133"/>
        <v>0</v>
      </c>
      <c r="AW34" s="1414">
        <f>SUM(AK34:AM34)</f>
        <v>0</v>
      </c>
      <c r="AX34" s="1414">
        <f>SUM(AN34:AP34)</f>
        <v>0</v>
      </c>
      <c r="AY34" s="1414">
        <f>SUM(AQ34:AS34)</f>
        <v>0</v>
      </c>
      <c r="AZ34" s="1414">
        <f>SUM(AT34:AV34)</f>
        <v>0</v>
      </c>
      <c r="BA34" s="1414">
        <f>AW34+AX34+AY34+AZ34</f>
        <v>0</v>
      </c>
      <c r="BB34" s="1549"/>
      <c r="BC34" s="1549">
        <f t="shared" ref="BC34:BM34" si="140">BB34</f>
        <v>0</v>
      </c>
      <c r="BD34" s="1549">
        <f t="shared" si="140"/>
        <v>0</v>
      </c>
      <c r="BE34" s="1549">
        <f t="shared" si="140"/>
        <v>0</v>
      </c>
      <c r="BF34" s="1549">
        <f t="shared" si="140"/>
        <v>0</v>
      </c>
      <c r="BG34" s="1549">
        <f t="shared" si="140"/>
        <v>0</v>
      </c>
      <c r="BH34" s="1549">
        <f t="shared" si="140"/>
        <v>0</v>
      </c>
      <c r="BI34" s="1549">
        <f t="shared" si="140"/>
        <v>0</v>
      </c>
      <c r="BJ34" s="1549">
        <f t="shared" si="140"/>
        <v>0</v>
      </c>
      <c r="BK34" s="1549">
        <f t="shared" si="140"/>
        <v>0</v>
      </c>
      <c r="BL34" s="1549">
        <f t="shared" si="140"/>
        <v>0</v>
      </c>
      <c r="BM34" s="1549">
        <f t="shared" si="140"/>
        <v>0</v>
      </c>
      <c r="BN34" s="1414">
        <f>SUM(BB34:BD34)</f>
        <v>0</v>
      </c>
      <c r="BO34" s="1414">
        <f>SUM(BE34:BG34)</f>
        <v>0</v>
      </c>
      <c r="BP34" s="1414">
        <f>SUM(BH34:BJ34)</f>
        <v>0</v>
      </c>
      <c r="BQ34" s="1414">
        <f>SUM(BK34:BM34)</f>
        <v>0</v>
      </c>
      <c r="BR34" s="1414">
        <f>BN34+BO34+BP34+BQ34</f>
        <v>0</v>
      </c>
    </row>
    <row r="35" spans="1:70" ht="25.5">
      <c r="A35" s="481"/>
      <c r="B35" s="159" t="s">
        <v>1581</v>
      </c>
      <c r="C35" s="158">
        <f t="shared" si="139"/>
        <v>0</v>
      </c>
      <c r="D35" s="158">
        <f t="shared" si="139"/>
        <v>0</v>
      </c>
      <c r="E35" s="158">
        <f t="shared" si="139"/>
        <v>0</v>
      </c>
      <c r="F35" s="158">
        <f t="shared" si="139"/>
        <v>0</v>
      </c>
      <c r="G35" s="158">
        <f t="shared" si="139"/>
        <v>0</v>
      </c>
      <c r="H35" s="158">
        <f t="shared" si="139"/>
        <v>0</v>
      </c>
      <c r="I35" s="158">
        <f t="shared" si="139"/>
        <v>0</v>
      </c>
      <c r="J35" s="158">
        <f t="shared" si="139"/>
        <v>0</v>
      </c>
      <c r="K35" s="158">
        <f t="shared" si="139"/>
        <v>0</v>
      </c>
      <c r="L35" s="158">
        <f t="shared" si="139"/>
        <v>0</v>
      </c>
      <c r="M35" s="158">
        <f t="shared" si="139"/>
        <v>0</v>
      </c>
      <c r="N35" s="158">
        <f t="shared" si="139"/>
        <v>0</v>
      </c>
      <c r="O35" s="1548">
        <f>SUM(C35:E35)</f>
        <v>0</v>
      </c>
      <c r="P35" s="1548">
        <f>SUM(F35:H35)</f>
        <v>0</v>
      </c>
      <c r="Q35" s="1548">
        <f>SUM(I35:K35)</f>
        <v>0</v>
      </c>
      <c r="R35" s="1548">
        <f>SUM(L35:N35)</f>
        <v>0</v>
      </c>
      <c r="S35" s="1548">
        <f>O35+P35+Q35+R35</f>
        <v>0</v>
      </c>
      <c r="T35" s="1549">
        <f ca="1">'2240'!C14</f>
        <v>0</v>
      </c>
      <c r="U35" s="1549">
        <f ca="1">'2240'!D14</f>
        <v>0</v>
      </c>
      <c r="V35" s="1549">
        <f ca="1">'2240'!E14</f>
        <v>0</v>
      </c>
      <c r="W35" s="1549">
        <f ca="1">'2240'!F14</f>
        <v>0</v>
      </c>
      <c r="X35" s="1549">
        <f ca="1">'2240'!G14</f>
        <v>0</v>
      </c>
      <c r="Y35" s="1549">
        <f ca="1">'2240'!H14</f>
        <v>0</v>
      </c>
      <c r="Z35" s="1549">
        <f ca="1">'2240'!I14</f>
        <v>0</v>
      </c>
      <c r="AA35" s="1549">
        <f ca="1">'2240'!J14</f>
        <v>0</v>
      </c>
      <c r="AB35" s="1549">
        <f ca="1">'2240'!K14</f>
        <v>0</v>
      </c>
      <c r="AC35" s="1549">
        <f ca="1">'2240'!L14</f>
        <v>0</v>
      </c>
      <c r="AD35" s="1549">
        <f ca="1">'2240'!M14</f>
        <v>0</v>
      </c>
      <c r="AE35" s="1549">
        <f ca="1">'2240'!N14</f>
        <v>0</v>
      </c>
      <c r="AF35" s="1414">
        <f>SUM(T35:V35)</f>
        <v>0</v>
      </c>
      <c r="AG35" s="1414">
        <f>SUM(W35:Y35)</f>
        <v>0</v>
      </c>
      <c r="AH35" s="1414">
        <f>SUM(Z35:AB35)</f>
        <v>0</v>
      </c>
      <c r="AI35" s="1414">
        <f>SUM(AC35:AE35)</f>
        <v>0</v>
      </c>
      <c r="AJ35" s="1414">
        <f>AF35+AG35+AH35+AI35</f>
        <v>0</v>
      </c>
      <c r="AK35" s="1549"/>
      <c r="AL35" s="1549">
        <f t="shared" ref="AL35:AV35" si="141">AK35</f>
        <v>0</v>
      </c>
      <c r="AM35" s="1549">
        <f t="shared" si="141"/>
        <v>0</v>
      </c>
      <c r="AN35" s="1549">
        <f t="shared" si="141"/>
        <v>0</v>
      </c>
      <c r="AO35" s="1549">
        <f t="shared" si="141"/>
        <v>0</v>
      </c>
      <c r="AP35" s="1549">
        <f t="shared" si="141"/>
        <v>0</v>
      </c>
      <c r="AQ35" s="1549">
        <f t="shared" si="141"/>
        <v>0</v>
      </c>
      <c r="AR35" s="1549">
        <f t="shared" si="141"/>
        <v>0</v>
      </c>
      <c r="AS35" s="1549">
        <f t="shared" si="141"/>
        <v>0</v>
      </c>
      <c r="AT35" s="1549">
        <f t="shared" si="141"/>
        <v>0</v>
      </c>
      <c r="AU35" s="1549">
        <f t="shared" si="141"/>
        <v>0</v>
      </c>
      <c r="AV35" s="1549">
        <f t="shared" si="141"/>
        <v>0</v>
      </c>
      <c r="AW35" s="1414">
        <f>SUM(AK35:AM35)</f>
        <v>0</v>
      </c>
      <c r="AX35" s="1414">
        <f>SUM(AN35:AP35)</f>
        <v>0</v>
      </c>
      <c r="AY35" s="1414">
        <f>SUM(AQ35:AS35)</f>
        <v>0</v>
      </c>
      <c r="AZ35" s="1414">
        <f>SUM(AT35:AV35)</f>
        <v>0</v>
      </c>
      <c r="BA35" s="1414">
        <f>AW35+AX35+AY35+AZ35</f>
        <v>0</v>
      </c>
      <c r="BB35" s="1549"/>
      <c r="BC35" s="1549">
        <f t="shared" ref="BC35:BM35" si="142">BB35</f>
        <v>0</v>
      </c>
      <c r="BD35" s="1549">
        <f t="shared" si="142"/>
        <v>0</v>
      </c>
      <c r="BE35" s="1549">
        <f t="shared" si="142"/>
        <v>0</v>
      </c>
      <c r="BF35" s="1549">
        <f t="shared" si="142"/>
        <v>0</v>
      </c>
      <c r="BG35" s="1549">
        <f t="shared" si="142"/>
        <v>0</v>
      </c>
      <c r="BH35" s="1549">
        <f t="shared" si="142"/>
        <v>0</v>
      </c>
      <c r="BI35" s="1549">
        <f t="shared" si="142"/>
        <v>0</v>
      </c>
      <c r="BJ35" s="1549">
        <f t="shared" si="142"/>
        <v>0</v>
      </c>
      <c r="BK35" s="1549">
        <f t="shared" si="142"/>
        <v>0</v>
      </c>
      <c r="BL35" s="1549">
        <f t="shared" si="142"/>
        <v>0</v>
      </c>
      <c r="BM35" s="1549">
        <f t="shared" si="142"/>
        <v>0</v>
      </c>
      <c r="BN35" s="1414">
        <f>SUM(BB35:BD35)</f>
        <v>0</v>
      </c>
      <c r="BO35" s="1414">
        <f>SUM(BE35:BG35)</f>
        <v>0</v>
      </c>
      <c r="BP35" s="1414">
        <f>SUM(BH35:BJ35)</f>
        <v>0</v>
      </c>
      <c r="BQ35" s="1414">
        <f>SUM(BK35:BM35)</f>
        <v>0</v>
      </c>
      <c r="BR35" s="1414">
        <f>BN35+BO35+BP35+BQ35</f>
        <v>0</v>
      </c>
    </row>
    <row r="36" spans="1:70">
      <c r="A36" s="481"/>
      <c r="B36" s="159" t="s">
        <v>1582</v>
      </c>
      <c r="C36" s="158">
        <f t="shared" si="139"/>
        <v>0</v>
      </c>
      <c r="D36" s="158">
        <f t="shared" si="139"/>
        <v>0</v>
      </c>
      <c r="E36" s="158">
        <f t="shared" si="139"/>
        <v>0</v>
      </c>
      <c r="F36" s="158">
        <f t="shared" si="139"/>
        <v>0</v>
      </c>
      <c r="G36" s="158">
        <f t="shared" si="139"/>
        <v>0</v>
      </c>
      <c r="H36" s="158">
        <f t="shared" si="139"/>
        <v>0</v>
      </c>
      <c r="I36" s="158">
        <f t="shared" si="139"/>
        <v>0</v>
      </c>
      <c r="J36" s="158">
        <f t="shared" si="139"/>
        <v>0</v>
      </c>
      <c r="K36" s="158">
        <f t="shared" si="139"/>
        <v>0</v>
      </c>
      <c r="L36" s="158">
        <f t="shared" si="139"/>
        <v>0</v>
      </c>
      <c r="M36" s="158">
        <f t="shared" si="139"/>
        <v>0</v>
      </c>
      <c r="N36" s="158">
        <f t="shared" si="139"/>
        <v>0</v>
      </c>
      <c r="O36" s="1548">
        <f>SUM(C36:E36)</f>
        <v>0</v>
      </c>
      <c r="P36" s="1548">
        <f>SUM(F36:H36)</f>
        <v>0</v>
      </c>
      <c r="Q36" s="1548">
        <f>SUM(I36:K36)</f>
        <v>0</v>
      </c>
      <c r="R36" s="1548">
        <f>SUM(L36:N36)</f>
        <v>0</v>
      </c>
      <c r="S36" s="1548">
        <f>O36+P36+Q36+R36</f>
        <v>0</v>
      </c>
      <c r="T36" s="1549">
        <f ca="1">'2240'!C15</f>
        <v>0</v>
      </c>
      <c r="U36" s="1549">
        <f ca="1">'2240'!D15</f>
        <v>0</v>
      </c>
      <c r="V36" s="1549">
        <f ca="1">'2240'!E15</f>
        <v>0</v>
      </c>
      <c r="W36" s="1549">
        <f ca="1">'2240'!F15</f>
        <v>0</v>
      </c>
      <c r="X36" s="1549">
        <f ca="1">'2240'!G15</f>
        <v>0</v>
      </c>
      <c r="Y36" s="1549">
        <f ca="1">'2240'!H15</f>
        <v>0</v>
      </c>
      <c r="Z36" s="1549">
        <f ca="1">'2240'!I15</f>
        <v>0</v>
      </c>
      <c r="AA36" s="1549">
        <f ca="1">'2240'!J15</f>
        <v>0</v>
      </c>
      <c r="AB36" s="1549">
        <f ca="1">'2240'!K15</f>
        <v>0</v>
      </c>
      <c r="AC36" s="1549">
        <f ca="1">'2240'!L15</f>
        <v>0</v>
      </c>
      <c r="AD36" s="1549">
        <f ca="1">'2240'!M15</f>
        <v>0</v>
      </c>
      <c r="AE36" s="1549">
        <f ca="1">'2240'!N15</f>
        <v>0</v>
      </c>
      <c r="AF36" s="1414">
        <f>SUM(T36:V36)</f>
        <v>0</v>
      </c>
      <c r="AG36" s="1414">
        <f>SUM(W36:Y36)</f>
        <v>0</v>
      </c>
      <c r="AH36" s="1414">
        <f>SUM(Z36:AB36)</f>
        <v>0</v>
      </c>
      <c r="AI36" s="1414">
        <f>SUM(AC36:AE36)</f>
        <v>0</v>
      </c>
      <c r="AJ36" s="1414">
        <f>AF36+AG36+AH36+AI36</f>
        <v>0</v>
      </c>
      <c r="AK36" s="1549"/>
      <c r="AL36" s="1549">
        <f t="shared" ref="AL36:AV36" si="143">AK36</f>
        <v>0</v>
      </c>
      <c r="AM36" s="1549">
        <f t="shared" si="143"/>
        <v>0</v>
      </c>
      <c r="AN36" s="1549">
        <f t="shared" si="143"/>
        <v>0</v>
      </c>
      <c r="AO36" s="1549">
        <f t="shared" si="143"/>
        <v>0</v>
      </c>
      <c r="AP36" s="1549">
        <f t="shared" si="143"/>
        <v>0</v>
      </c>
      <c r="AQ36" s="1549">
        <f t="shared" si="143"/>
        <v>0</v>
      </c>
      <c r="AR36" s="1549">
        <f t="shared" si="143"/>
        <v>0</v>
      </c>
      <c r="AS36" s="1549">
        <f t="shared" si="143"/>
        <v>0</v>
      </c>
      <c r="AT36" s="1549">
        <f t="shared" si="143"/>
        <v>0</v>
      </c>
      <c r="AU36" s="1549">
        <f t="shared" si="143"/>
        <v>0</v>
      </c>
      <c r="AV36" s="1549">
        <f t="shared" si="143"/>
        <v>0</v>
      </c>
      <c r="AW36" s="1414">
        <f>SUM(AK36:AM36)</f>
        <v>0</v>
      </c>
      <c r="AX36" s="1414">
        <f>SUM(AN36:AP36)</f>
        <v>0</v>
      </c>
      <c r="AY36" s="1414">
        <f>SUM(AQ36:AS36)</f>
        <v>0</v>
      </c>
      <c r="AZ36" s="1414">
        <f>SUM(AT36:AV36)</f>
        <v>0</v>
      </c>
      <c r="BA36" s="1414">
        <f>AW36+AX36+AY36+AZ36</f>
        <v>0</v>
      </c>
      <c r="BB36" s="1549"/>
      <c r="BC36" s="1549">
        <f t="shared" ref="BC36:BM36" si="144">BB36</f>
        <v>0</v>
      </c>
      <c r="BD36" s="1549">
        <f t="shared" si="144"/>
        <v>0</v>
      </c>
      <c r="BE36" s="1549">
        <f t="shared" si="144"/>
        <v>0</v>
      </c>
      <c r="BF36" s="1549">
        <f t="shared" si="144"/>
        <v>0</v>
      </c>
      <c r="BG36" s="1549">
        <f t="shared" si="144"/>
        <v>0</v>
      </c>
      <c r="BH36" s="1549">
        <f t="shared" si="144"/>
        <v>0</v>
      </c>
      <c r="BI36" s="1549">
        <f t="shared" si="144"/>
        <v>0</v>
      </c>
      <c r="BJ36" s="1549">
        <f t="shared" si="144"/>
        <v>0</v>
      </c>
      <c r="BK36" s="1549">
        <f t="shared" si="144"/>
        <v>0</v>
      </c>
      <c r="BL36" s="1549">
        <f t="shared" si="144"/>
        <v>0</v>
      </c>
      <c r="BM36" s="1549">
        <f t="shared" si="144"/>
        <v>0</v>
      </c>
      <c r="BN36" s="1414">
        <f>SUM(BB36:BD36)</f>
        <v>0</v>
      </c>
      <c r="BO36" s="1414">
        <f>SUM(BE36:BG36)</f>
        <v>0</v>
      </c>
      <c r="BP36" s="1414">
        <f>SUM(BH36:BJ36)</f>
        <v>0</v>
      </c>
      <c r="BQ36" s="1414">
        <f>SUM(BK36:BM36)</f>
        <v>0</v>
      </c>
      <c r="BR36" s="1414">
        <f>BN36+BO36+BP36+BQ36</f>
        <v>0</v>
      </c>
    </row>
    <row r="37" spans="1:70">
      <c r="A37" s="481"/>
      <c r="B37" s="159" t="s">
        <v>1583</v>
      </c>
      <c r="C37" s="158">
        <f t="shared" si="139"/>
        <v>0</v>
      </c>
      <c r="D37" s="158">
        <f t="shared" si="139"/>
        <v>0</v>
      </c>
      <c r="E37" s="158">
        <f t="shared" si="139"/>
        <v>0</v>
      </c>
      <c r="F37" s="158">
        <f t="shared" si="139"/>
        <v>0</v>
      </c>
      <c r="G37" s="158">
        <f t="shared" si="139"/>
        <v>0</v>
      </c>
      <c r="H37" s="158">
        <f t="shared" si="139"/>
        <v>0</v>
      </c>
      <c r="I37" s="158">
        <f t="shared" si="139"/>
        <v>0</v>
      </c>
      <c r="J37" s="158">
        <f t="shared" si="139"/>
        <v>0</v>
      </c>
      <c r="K37" s="158">
        <f t="shared" si="139"/>
        <v>0</v>
      </c>
      <c r="L37" s="158">
        <f t="shared" si="139"/>
        <v>0</v>
      </c>
      <c r="M37" s="158">
        <f t="shared" si="139"/>
        <v>0</v>
      </c>
      <c r="N37" s="158">
        <f t="shared" si="139"/>
        <v>0</v>
      </c>
      <c r="O37" s="1548">
        <f>SUM(C37:E37)</f>
        <v>0</v>
      </c>
      <c r="P37" s="1548">
        <f>SUM(F37:H37)</f>
        <v>0</v>
      </c>
      <c r="Q37" s="1548">
        <f>SUM(I37:K37)</f>
        <v>0</v>
      </c>
      <c r="R37" s="1548">
        <f>SUM(L37:N37)</f>
        <v>0</v>
      </c>
      <c r="S37" s="1548">
        <f>O37+P37+Q37+R37</f>
        <v>0</v>
      </c>
      <c r="T37" s="1549">
        <f ca="1">'2240'!C16</f>
        <v>0</v>
      </c>
      <c r="U37" s="1549">
        <f ca="1">'2240'!D16</f>
        <v>0</v>
      </c>
      <c r="V37" s="1549">
        <f ca="1">'2240'!E16</f>
        <v>0</v>
      </c>
      <c r="W37" s="1549">
        <f ca="1">'2240'!F16</f>
        <v>0</v>
      </c>
      <c r="X37" s="1549">
        <f ca="1">'2240'!G16</f>
        <v>0</v>
      </c>
      <c r="Y37" s="1549">
        <f ca="1">'2240'!H16</f>
        <v>0</v>
      </c>
      <c r="Z37" s="1549">
        <f ca="1">'2240'!I16</f>
        <v>0</v>
      </c>
      <c r="AA37" s="1549">
        <f ca="1">'2240'!J16</f>
        <v>0</v>
      </c>
      <c r="AB37" s="1549">
        <f ca="1">'2240'!K16</f>
        <v>0</v>
      </c>
      <c r="AC37" s="1549">
        <f ca="1">'2240'!L16</f>
        <v>0</v>
      </c>
      <c r="AD37" s="1549">
        <f ca="1">'2240'!M16</f>
        <v>0</v>
      </c>
      <c r="AE37" s="1549">
        <f ca="1">'2240'!N16</f>
        <v>0</v>
      </c>
      <c r="AF37" s="1414">
        <f>SUM(T37:V37)</f>
        <v>0</v>
      </c>
      <c r="AG37" s="1414">
        <f>SUM(W37:Y37)</f>
        <v>0</v>
      </c>
      <c r="AH37" s="1414">
        <f>SUM(Z37:AB37)</f>
        <v>0</v>
      </c>
      <c r="AI37" s="1414">
        <f>SUM(AC37:AE37)</f>
        <v>0</v>
      </c>
      <c r="AJ37" s="1414">
        <f>AF37+AG37+AH37+AI37</f>
        <v>0</v>
      </c>
      <c r="AK37" s="1549"/>
      <c r="AL37" s="1549">
        <f t="shared" ref="AL37:AV37" si="145">AK37</f>
        <v>0</v>
      </c>
      <c r="AM37" s="1549">
        <f t="shared" si="145"/>
        <v>0</v>
      </c>
      <c r="AN37" s="1549">
        <f t="shared" si="145"/>
        <v>0</v>
      </c>
      <c r="AO37" s="1549">
        <f t="shared" si="145"/>
        <v>0</v>
      </c>
      <c r="AP37" s="1549">
        <f t="shared" si="145"/>
        <v>0</v>
      </c>
      <c r="AQ37" s="1549">
        <f t="shared" si="145"/>
        <v>0</v>
      </c>
      <c r="AR37" s="1549">
        <f t="shared" si="145"/>
        <v>0</v>
      </c>
      <c r="AS37" s="1549">
        <f t="shared" si="145"/>
        <v>0</v>
      </c>
      <c r="AT37" s="1549">
        <f t="shared" si="145"/>
        <v>0</v>
      </c>
      <c r="AU37" s="1549">
        <f t="shared" si="145"/>
        <v>0</v>
      </c>
      <c r="AV37" s="1549">
        <f t="shared" si="145"/>
        <v>0</v>
      </c>
      <c r="AW37" s="1414">
        <f>SUM(AK37:AM37)</f>
        <v>0</v>
      </c>
      <c r="AX37" s="1414">
        <f>SUM(AN37:AP37)</f>
        <v>0</v>
      </c>
      <c r="AY37" s="1414">
        <f>SUM(AQ37:AS37)</f>
        <v>0</v>
      </c>
      <c r="AZ37" s="1414">
        <f>SUM(AT37:AV37)</f>
        <v>0</v>
      </c>
      <c r="BA37" s="1414">
        <f>AW37+AX37+AY37+AZ37</f>
        <v>0</v>
      </c>
      <c r="BB37" s="1549"/>
      <c r="BC37" s="1549">
        <f t="shared" ref="BC37:BM37" si="146">BB37</f>
        <v>0</v>
      </c>
      <c r="BD37" s="1549">
        <f t="shared" si="146"/>
        <v>0</v>
      </c>
      <c r="BE37" s="1549">
        <f t="shared" si="146"/>
        <v>0</v>
      </c>
      <c r="BF37" s="1549">
        <f t="shared" si="146"/>
        <v>0</v>
      </c>
      <c r="BG37" s="1549">
        <f t="shared" si="146"/>
        <v>0</v>
      </c>
      <c r="BH37" s="1549">
        <f t="shared" si="146"/>
        <v>0</v>
      </c>
      <c r="BI37" s="1549">
        <f t="shared" si="146"/>
        <v>0</v>
      </c>
      <c r="BJ37" s="1549">
        <f t="shared" si="146"/>
        <v>0</v>
      </c>
      <c r="BK37" s="1549">
        <f t="shared" si="146"/>
        <v>0</v>
      </c>
      <c r="BL37" s="1549">
        <f t="shared" si="146"/>
        <v>0</v>
      </c>
      <c r="BM37" s="1549">
        <f t="shared" si="146"/>
        <v>0</v>
      </c>
      <c r="BN37" s="1414">
        <f>SUM(BB37:BD37)</f>
        <v>0</v>
      </c>
      <c r="BO37" s="1414">
        <f>SUM(BE37:BG37)</f>
        <v>0</v>
      </c>
      <c r="BP37" s="1414">
        <f>SUM(BH37:BJ37)</f>
        <v>0</v>
      </c>
      <c r="BQ37" s="1414">
        <f>SUM(BK37:BM37)</f>
        <v>0</v>
      </c>
      <c r="BR37" s="1414">
        <f>BN37+BO37+BP37+BQ37</f>
        <v>0</v>
      </c>
    </row>
    <row r="38" spans="1:70">
      <c r="A38" s="482"/>
      <c r="B38" s="161" t="s">
        <v>1584</v>
      </c>
      <c r="C38" s="164">
        <f>SUM(C39,C40,C41,C42,C43)</f>
        <v>3220</v>
      </c>
      <c r="D38" s="164">
        <f t="shared" ref="D38:R38" si="147">SUM(D39,D40,D41,D42,D43)</f>
        <v>7020</v>
      </c>
      <c r="E38" s="164">
        <f t="shared" si="147"/>
        <v>13710</v>
      </c>
      <c r="F38" s="164">
        <f t="shared" si="147"/>
        <v>7279</v>
      </c>
      <c r="G38" s="164">
        <f t="shared" si="147"/>
        <v>5319</v>
      </c>
      <c r="H38" s="164">
        <f t="shared" si="147"/>
        <v>13837</v>
      </c>
      <c r="I38" s="164">
        <f t="shared" si="147"/>
        <v>10520</v>
      </c>
      <c r="J38" s="164">
        <f t="shared" si="147"/>
        <v>3739</v>
      </c>
      <c r="K38" s="164">
        <f t="shared" si="147"/>
        <v>13439</v>
      </c>
      <c r="L38" s="164">
        <f t="shared" si="147"/>
        <v>7979</v>
      </c>
      <c r="M38" s="164">
        <f t="shared" si="147"/>
        <v>3739</v>
      </c>
      <c r="N38" s="164">
        <f t="shared" si="147"/>
        <v>3739</v>
      </c>
      <c r="O38" s="1558">
        <f t="shared" si="147"/>
        <v>23950</v>
      </c>
      <c r="P38" s="1558">
        <f t="shared" si="147"/>
        <v>26435</v>
      </c>
      <c r="Q38" s="1558">
        <f t="shared" si="147"/>
        <v>27698</v>
      </c>
      <c r="R38" s="1558">
        <f t="shared" si="147"/>
        <v>15457</v>
      </c>
      <c r="S38" s="1558">
        <f>SUM(S39,S40,S41,S42,S43)</f>
        <v>93540</v>
      </c>
      <c r="T38" s="1545">
        <f ca="1">SUM(T39,T40,T41,T42,T43)</f>
        <v>3220</v>
      </c>
      <c r="U38" s="1545">
        <f t="shared" ref="U38:AJ38" si="148">SUM(U39,U40,U41,U42,U43)</f>
        <v>7020</v>
      </c>
      <c r="V38" s="1545">
        <f t="shared" si="148"/>
        <v>13710</v>
      </c>
      <c r="W38" s="1545">
        <f t="shared" si="148"/>
        <v>7279</v>
      </c>
      <c r="X38" s="1545">
        <f t="shared" si="148"/>
        <v>5319</v>
      </c>
      <c r="Y38" s="1545">
        <f t="shared" si="148"/>
        <v>13837</v>
      </c>
      <c r="Z38" s="1545">
        <f t="shared" si="148"/>
        <v>10520</v>
      </c>
      <c r="AA38" s="1545">
        <f t="shared" si="148"/>
        <v>3739</v>
      </c>
      <c r="AB38" s="1545">
        <f t="shared" si="148"/>
        <v>13439</v>
      </c>
      <c r="AC38" s="1545">
        <f t="shared" si="148"/>
        <v>7979</v>
      </c>
      <c r="AD38" s="1545">
        <f t="shared" si="148"/>
        <v>3739</v>
      </c>
      <c r="AE38" s="1545">
        <f t="shared" si="148"/>
        <v>3739</v>
      </c>
      <c r="AF38" s="1545">
        <f t="shared" si="148"/>
        <v>23950</v>
      </c>
      <c r="AG38" s="1545">
        <f t="shared" si="148"/>
        <v>26435</v>
      </c>
      <c r="AH38" s="1545">
        <f t="shared" si="148"/>
        <v>27698</v>
      </c>
      <c r="AI38" s="1545">
        <f t="shared" si="148"/>
        <v>15457</v>
      </c>
      <c r="AJ38" s="1545">
        <f t="shared" si="148"/>
        <v>93540</v>
      </c>
      <c r="AK38" s="1545">
        <f>SUM(AK39,AK40,AK41,AK42,AK43)</f>
        <v>0</v>
      </c>
      <c r="AL38" s="1545">
        <f t="shared" ref="AL38:BA38" si="149">SUM(AL39,AL40,AL41,AL42,AL43)</f>
        <v>0</v>
      </c>
      <c r="AM38" s="1545">
        <f t="shared" si="149"/>
        <v>0</v>
      </c>
      <c r="AN38" s="1545">
        <f t="shared" si="149"/>
        <v>0</v>
      </c>
      <c r="AO38" s="1545">
        <f t="shared" si="149"/>
        <v>0</v>
      </c>
      <c r="AP38" s="1545">
        <f t="shared" si="149"/>
        <v>0</v>
      </c>
      <c r="AQ38" s="1545">
        <f t="shared" si="149"/>
        <v>0</v>
      </c>
      <c r="AR38" s="1545">
        <f t="shared" si="149"/>
        <v>0</v>
      </c>
      <c r="AS38" s="1545">
        <f t="shared" si="149"/>
        <v>0</v>
      </c>
      <c r="AT38" s="1545">
        <f t="shared" si="149"/>
        <v>0</v>
      </c>
      <c r="AU38" s="1545">
        <f t="shared" si="149"/>
        <v>0</v>
      </c>
      <c r="AV38" s="1545">
        <f t="shared" si="149"/>
        <v>0</v>
      </c>
      <c r="AW38" s="1545">
        <f t="shared" si="149"/>
        <v>0</v>
      </c>
      <c r="AX38" s="1545">
        <f t="shared" si="149"/>
        <v>0</v>
      </c>
      <c r="AY38" s="1545">
        <f t="shared" si="149"/>
        <v>0</v>
      </c>
      <c r="AZ38" s="1545">
        <f t="shared" si="149"/>
        <v>0</v>
      </c>
      <c r="BA38" s="1545">
        <f t="shared" si="149"/>
        <v>0</v>
      </c>
      <c r="BB38" s="1545">
        <f>SUM(BB39,BB40,BB41,BB42,BB43)</f>
        <v>0</v>
      </c>
      <c r="BC38" s="1545">
        <f t="shared" ref="BC38:BM38" si="150">SUM(BC39,BC40,BC41,BC42,BC43)</f>
        <v>0</v>
      </c>
      <c r="BD38" s="1545">
        <f t="shared" si="150"/>
        <v>0</v>
      </c>
      <c r="BE38" s="1545">
        <f t="shared" si="150"/>
        <v>0</v>
      </c>
      <c r="BF38" s="1545">
        <f t="shared" si="150"/>
        <v>0</v>
      </c>
      <c r="BG38" s="1545">
        <f t="shared" si="150"/>
        <v>0</v>
      </c>
      <c r="BH38" s="1545">
        <f t="shared" si="150"/>
        <v>0</v>
      </c>
      <c r="BI38" s="1545">
        <f t="shared" si="150"/>
        <v>0</v>
      </c>
      <c r="BJ38" s="1545">
        <f t="shared" si="150"/>
        <v>0</v>
      </c>
      <c r="BK38" s="1545">
        <f t="shared" si="150"/>
        <v>0</v>
      </c>
      <c r="BL38" s="1545">
        <f t="shared" si="150"/>
        <v>0</v>
      </c>
      <c r="BM38" s="1545">
        <f t="shared" si="150"/>
        <v>0</v>
      </c>
      <c r="BN38" s="1545">
        <f>SUM(BN39,BN40,BN41,BN42,BN43)</f>
        <v>0</v>
      </c>
      <c r="BO38" s="1545">
        <f>SUM(BO39,BO40,BO41,BO42,BO43)</f>
        <v>0</v>
      </c>
      <c r="BP38" s="1545">
        <f>SUM(BP39,BP40,BP41,BP42,BP43)</f>
        <v>0</v>
      </c>
      <c r="BQ38" s="1545">
        <f>SUM(BQ39,BQ40,BQ41,BQ42,BQ43)</f>
        <v>0</v>
      </c>
      <c r="BR38" s="1545">
        <f>SUM(BR39,BR40,BR41,BR42,BR43)</f>
        <v>0</v>
      </c>
    </row>
    <row r="39" spans="1:70" ht="16.5">
      <c r="A39" s="481"/>
      <c r="B39" s="162" t="s">
        <v>1585</v>
      </c>
      <c r="C39" s="158">
        <f t="shared" ref="C39:N39" si="151">T39+AK39+BB39</f>
        <v>0</v>
      </c>
      <c r="D39" s="158">
        <f t="shared" si="151"/>
        <v>0</v>
      </c>
      <c r="E39" s="158">
        <f t="shared" si="151"/>
        <v>6360</v>
      </c>
      <c r="F39" s="158">
        <f t="shared" si="151"/>
        <v>0</v>
      </c>
      <c r="G39" s="158">
        <f t="shared" si="151"/>
        <v>0</v>
      </c>
      <c r="H39" s="158">
        <f t="shared" si="151"/>
        <v>7668</v>
      </c>
      <c r="I39" s="158">
        <f t="shared" si="151"/>
        <v>0</v>
      </c>
      <c r="J39" s="158">
        <f t="shared" si="151"/>
        <v>0</v>
      </c>
      <c r="K39" s="158">
        <f t="shared" si="151"/>
        <v>6360</v>
      </c>
      <c r="L39" s="158">
        <f t="shared" si="151"/>
        <v>0</v>
      </c>
      <c r="M39" s="158">
        <f t="shared" si="151"/>
        <v>0</v>
      </c>
      <c r="N39" s="158">
        <f t="shared" si="151"/>
        <v>0</v>
      </c>
      <c r="O39" s="1548">
        <f>SUM(C39:E39)</f>
        <v>6360</v>
      </c>
      <c r="P39" s="1548">
        <f>SUM(F39:H39)</f>
        <v>7668</v>
      </c>
      <c r="Q39" s="1548">
        <f>SUM(I39:K39)</f>
        <v>6360</v>
      </c>
      <c r="R39" s="1548">
        <f>SUM(L39:N39)</f>
        <v>0</v>
      </c>
      <c r="S39" s="1548">
        <f>O39+P39+Q39+R39</f>
        <v>20388</v>
      </c>
      <c r="T39" s="1549">
        <f ca="1">'2240'!C18</f>
        <v>0</v>
      </c>
      <c r="U39" s="1549">
        <f ca="1">'2240'!D18</f>
        <v>0</v>
      </c>
      <c r="V39" s="1549">
        <f ca="1">'2240'!E18</f>
        <v>6360</v>
      </c>
      <c r="W39" s="1549">
        <f ca="1">'2240'!F18</f>
        <v>0</v>
      </c>
      <c r="X39" s="1549">
        <f ca="1">'2240'!G18</f>
        <v>0</v>
      </c>
      <c r="Y39" s="1549">
        <f ca="1">'2240'!H18</f>
        <v>7668</v>
      </c>
      <c r="Z39" s="1549">
        <f ca="1">'2240'!I18</f>
        <v>0</v>
      </c>
      <c r="AA39" s="1549">
        <f ca="1">'2240'!J18</f>
        <v>0</v>
      </c>
      <c r="AB39" s="1549">
        <f ca="1">'2240'!K18</f>
        <v>6360</v>
      </c>
      <c r="AC39" s="1549">
        <f ca="1">'2240'!L18</f>
        <v>0</v>
      </c>
      <c r="AD39" s="1549">
        <f ca="1">'2240'!M18</f>
        <v>0</v>
      </c>
      <c r="AE39" s="1549">
        <f ca="1">'2240'!N18</f>
        <v>0</v>
      </c>
      <c r="AF39" s="1414">
        <f t="shared" ref="AF39:AF54" si="152">SUM(T39:V39)</f>
        <v>6360</v>
      </c>
      <c r="AG39" s="1414">
        <f t="shared" ref="AG39:AG54" si="153">SUM(W39:Y39)</f>
        <v>7668</v>
      </c>
      <c r="AH39" s="1414">
        <f t="shared" ref="AH39:AH54" si="154">SUM(Z39:AB39)</f>
        <v>6360</v>
      </c>
      <c r="AI39" s="1414">
        <f t="shared" ref="AI39:AI54" si="155">SUM(AC39:AE39)</f>
        <v>0</v>
      </c>
      <c r="AJ39" s="1414">
        <f t="shared" ref="AJ39:AJ54" si="156">AF39+AG39+AH39+AI39</f>
        <v>20388</v>
      </c>
      <c r="AK39" s="1550"/>
      <c r="AL39" s="1550"/>
      <c r="AM39" s="1550"/>
      <c r="AN39" s="1550"/>
      <c r="AO39" s="1550"/>
      <c r="AP39" s="1550"/>
      <c r="AQ39" s="1550"/>
      <c r="AR39" s="1550"/>
      <c r="AS39" s="1550"/>
      <c r="AT39" s="1550"/>
      <c r="AU39" s="1550"/>
      <c r="AV39" s="1550"/>
      <c r="AW39" s="1414">
        <f t="shared" ref="AW39:AW54" si="157">SUM(AK39:AM39)</f>
        <v>0</v>
      </c>
      <c r="AX39" s="1414">
        <f t="shared" ref="AX39:AX54" si="158">SUM(AN39:AP39)</f>
        <v>0</v>
      </c>
      <c r="AY39" s="1414">
        <f t="shared" ref="AY39:AY54" si="159">SUM(AQ39:AS39)</f>
        <v>0</v>
      </c>
      <c r="AZ39" s="1414">
        <f t="shared" ref="AZ39:AZ54" si="160">SUM(AT39:AV39)</f>
        <v>0</v>
      </c>
      <c r="BA39" s="1414">
        <f t="shared" ref="BA39:BA54" si="161">AW39+AX39+AY39+AZ39</f>
        <v>0</v>
      </c>
      <c r="BB39" s="1549"/>
      <c r="BC39" s="1549">
        <f t="shared" ref="BC39:BM39" si="162">BB39</f>
        <v>0</v>
      </c>
      <c r="BD39" s="1549">
        <f t="shared" si="162"/>
        <v>0</v>
      </c>
      <c r="BE39" s="1549">
        <f t="shared" si="162"/>
        <v>0</v>
      </c>
      <c r="BF39" s="1549">
        <f t="shared" si="162"/>
        <v>0</v>
      </c>
      <c r="BG39" s="1549">
        <f t="shared" si="162"/>
        <v>0</v>
      </c>
      <c r="BH39" s="1549">
        <f t="shared" si="162"/>
        <v>0</v>
      </c>
      <c r="BI39" s="1549">
        <f t="shared" si="162"/>
        <v>0</v>
      </c>
      <c r="BJ39" s="1549">
        <f t="shared" si="162"/>
        <v>0</v>
      </c>
      <c r="BK39" s="1549">
        <f t="shared" si="162"/>
        <v>0</v>
      </c>
      <c r="BL39" s="1549">
        <f t="shared" si="162"/>
        <v>0</v>
      </c>
      <c r="BM39" s="1549">
        <f t="shared" si="162"/>
        <v>0</v>
      </c>
      <c r="BN39" s="1414">
        <f t="shared" ref="BN39:BN54" si="163">SUM(BB39:BD39)</f>
        <v>0</v>
      </c>
      <c r="BO39" s="1414">
        <f t="shared" ref="BO39:BO54" si="164">SUM(BE39:BG39)</f>
        <v>0</v>
      </c>
      <c r="BP39" s="1414">
        <f t="shared" ref="BP39:BP54" si="165">SUM(BH39:BJ39)</f>
        <v>0</v>
      </c>
      <c r="BQ39" s="1414">
        <f t="shared" ref="BQ39:BQ54" si="166">SUM(BK39:BM39)</f>
        <v>0</v>
      </c>
      <c r="BR39" s="1414">
        <f t="shared" ref="BR39:BR54" si="167">BN39+BO39+BP39+BQ39</f>
        <v>0</v>
      </c>
    </row>
    <row r="40" spans="1:70" ht="16.5">
      <c r="A40" s="481"/>
      <c r="B40" s="162" t="s">
        <v>1586</v>
      </c>
      <c r="C40" s="158">
        <f t="shared" ref="C40:C54" si="168">T40+AK40+BB40</f>
        <v>3000</v>
      </c>
      <c r="D40" s="158">
        <f t="shared" ref="D40:D54" si="169">U40+AL40+BC40</f>
        <v>6200</v>
      </c>
      <c r="E40" s="158">
        <f t="shared" ref="E40:E54" si="170">V40+AM40+BD40</f>
        <v>3800</v>
      </c>
      <c r="F40" s="158">
        <f t="shared" ref="F40:F54" si="171">W40+AN40+BE40</f>
        <v>6759</v>
      </c>
      <c r="G40" s="158">
        <f t="shared" ref="G40:G54" si="172">X40+AO40+BF40</f>
        <v>4799</v>
      </c>
      <c r="H40" s="158">
        <f t="shared" ref="H40:H54" si="173">Y40+AP40+BG40</f>
        <v>5649</v>
      </c>
      <c r="I40" s="158">
        <f t="shared" ref="I40:I54" si="174">Z40+AQ40+BH40</f>
        <v>10000</v>
      </c>
      <c r="J40" s="158">
        <f t="shared" ref="J40:J54" si="175">AA40+AR40+BI40</f>
        <v>3219</v>
      </c>
      <c r="K40" s="158">
        <f t="shared" ref="K40:K54" si="176">AB40+AS40+BJ40</f>
        <v>6559</v>
      </c>
      <c r="L40" s="158">
        <f t="shared" ref="L40:L54" si="177">AC40+AT40+BK40</f>
        <v>7459</v>
      </c>
      <c r="M40" s="158">
        <f t="shared" ref="M40:M54" si="178">AD40+AU40+BL40</f>
        <v>3219</v>
      </c>
      <c r="N40" s="158">
        <f t="shared" ref="N40:N54" si="179">AE40+AV40+BM40</f>
        <v>3219</v>
      </c>
      <c r="O40" s="1548">
        <f t="shared" ref="O40:O54" si="180">SUM(C40:E40)</f>
        <v>13000</v>
      </c>
      <c r="P40" s="1548">
        <f t="shared" ref="P40:P54" si="181">SUM(F40:H40)</f>
        <v>17207</v>
      </c>
      <c r="Q40" s="1548">
        <f t="shared" ref="Q40:Q54" si="182">SUM(I40:K40)</f>
        <v>19778</v>
      </c>
      <c r="R40" s="1548">
        <f t="shared" ref="R40:R54" si="183">SUM(L40:N40)</f>
        <v>13897</v>
      </c>
      <c r="S40" s="1548">
        <f t="shared" ref="S40:S54" si="184">O40+P40+Q40+R40</f>
        <v>63882</v>
      </c>
      <c r="T40" s="1549">
        <f ca="1">'2240'!C19</f>
        <v>3000</v>
      </c>
      <c r="U40" s="1549">
        <f ca="1">'2240'!D19</f>
        <v>6200</v>
      </c>
      <c r="V40" s="1549">
        <f ca="1">'2240'!E19</f>
        <v>3800</v>
      </c>
      <c r="W40" s="1549">
        <f ca="1">'2240'!F19</f>
        <v>6759</v>
      </c>
      <c r="X40" s="1549">
        <f ca="1">'2240'!G19</f>
        <v>4799</v>
      </c>
      <c r="Y40" s="1549">
        <f ca="1">'2240'!H19</f>
        <v>5649</v>
      </c>
      <c r="Z40" s="1549">
        <f ca="1">'2240'!I19</f>
        <v>10000</v>
      </c>
      <c r="AA40" s="1549">
        <f ca="1">'2240'!J19</f>
        <v>3219</v>
      </c>
      <c r="AB40" s="1549">
        <f ca="1">'2240'!K19</f>
        <v>6559</v>
      </c>
      <c r="AC40" s="1549">
        <f ca="1">'2240'!L19</f>
        <v>7459</v>
      </c>
      <c r="AD40" s="1549">
        <f ca="1">'2240'!M19</f>
        <v>3219</v>
      </c>
      <c r="AE40" s="1549">
        <f ca="1">'2240'!N19</f>
        <v>3219</v>
      </c>
      <c r="AF40" s="1414">
        <f t="shared" si="152"/>
        <v>13000</v>
      </c>
      <c r="AG40" s="1414">
        <f t="shared" si="153"/>
        <v>17207</v>
      </c>
      <c r="AH40" s="1414">
        <f t="shared" si="154"/>
        <v>19778</v>
      </c>
      <c r="AI40" s="1414">
        <f t="shared" si="155"/>
        <v>13897</v>
      </c>
      <c r="AJ40" s="1414">
        <f t="shared" si="156"/>
        <v>63882</v>
      </c>
      <c r="AK40" s="1550"/>
      <c r="AL40" s="1550"/>
      <c r="AM40" s="1550"/>
      <c r="AN40" s="1550"/>
      <c r="AO40" s="1550"/>
      <c r="AP40" s="1550"/>
      <c r="AQ40" s="1550"/>
      <c r="AR40" s="1550"/>
      <c r="AS40" s="1550"/>
      <c r="AT40" s="1550"/>
      <c r="AU40" s="1550"/>
      <c r="AV40" s="1550"/>
      <c r="AW40" s="1414">
        <f t="shared" si="157"/>
        <v>0</v>
      </c>
      <c r="AX40" s="1414">
        <f t="shared" si="158"/>
        <v>0</v>
      </c>
      <c r="AY40" s="1414">
        <f t="shared" si="159"/>
        <v>0</v>
      </c>
      <c r="AZ40" s="1414">
        <f t="shared" si="160"/>
        <v>0</v>
      </c>
      <c r="BA40" s="1414">
        <f t="shared" si="161"/>
        <v>0</v>
      </c>
      <c r="BB40" s="1549"/>
      <c r="BC40" s="1549">
        <f t="shared" ref="BC40:BM40" si="185">BB40</f>
        <v>0</v>
      </c>
      <c r="BD40" s="1549">
        <f t="shared" si="185"/>
        <v>0</v>
      </c>
      <c r="BE40" s="1549">
        <f t="shared" si="185"/>
        <v>0</v>
      </c>
      <c r="BF40" s="1549">
        <f t="shared" si="185"/>
        <v>0</v>
      </c>
      <c r="BG40" s="1549">
        <f t="shared" si="185"/>
        <v>0</v>
      </c>
      <c r="BH40" s="1549">
        <f t="shared" si="185"/>
        <v>0</v>
      </c>
      <c r="BI40" s="1549">
        <f t="shared" si="185"/>
        <v>0</v>
      </c>
      <c r="BJ40" s="1549">
        <f t="shared" si="185"/>
        <v>0</v>
      </c>
      <c r="BK40" s="1549">
        <f t="shared" si="185"/>
        <v>0</v>
      </c>
      <c r="BL40" s="1549">
        <f t="shared" si="185"/>
        <v>0</v>
      </c>
      <c r="BM40" s="1549">
        <f t="shared" si="185"/>
        <v>0</v>
      </c>
      <c r="BN40" s="1414">
        <f t="shared" si="163"/>
        <v>0</v>
      </c>
      <c r="BO40" s="1414">
        <f t="shared" si="164"/>
        <v>0</v>
      </c>
      <c r="BP40" s="1414">
        <f t="shared" si="165"/>
        <v>0</v>
      </c>
      <c r="BQ40" s="1414">
        <f t="shared" si="166"/>
        <v>0</v>
      </c>
      <c r="BR40" s="1414">
        <f t="shared" si="167"/>
        <v>0</v>
      </c>
    </row>
    <row r="41" spans="1:70" ht="16.5">
      <c r="A41" s="481"/>
      <c r="B41" s="162" t="s">
        <v>1587</v>
      </c>
      <c r="C41" s="158">
        <f t="shared" si="168"/>
        <v>0</v>
      </c>
      <c r="D41" s="158">
        <f t="shared" si="169"/>
        <v>0</v>
      </c>
      <c r="E41" s="158">
        <f t="shared" si="170"/>
        <v>0</v>
      </c>
      <c r="F41" s="158">
        <f t="shared" si="171"/>
        <v>0</v>
      </c>
      <c r="G41" s="158">
        <f t="shared" si="172"/>
        <v>0</v>
      </c>
      <c r="H41" s="158">
        <f t="shared" si="173"/>
        <v>0</v>
      </c>
      <c r="I41" s="158">
        <f t="shared" si="174"/>
        <v>0</v>
      </c>
      <c r="J41" s="158">
        <f t="shared" si="175"/>
        <v>0</v>
      </c>
      <c r="K41" s="158">
        <f t="shared" si="176"/>
        <v>0</v>
      </c>
      <c r="L41" s="158">
        <f t="shared" si="177"/>
        <v>0</v>
      </c>
      <c r="M41" s="158">
        <f t="shared" si="178"/>
        <v>0</v>
      </c>
      <c r="N41" s="158">
        <f t="shared" si="179"/>
        <v>0</v>
      </c>
      <c r="O41" s="1548">
        <f t="shared" si="180"/>
        <v>0</v>
      </c>
      <c r="P41" s="1548">
        <f t="shared" si="181"/>
        <v>0</v>
      </c>
      <c r="Q41" s="1548">
        <f t="shared" si="182"/>
        <v>0</v>
      </c>
      <c r="R41" s="1548">
        <f t="shared" si="183"/>
        <v>0</v>
      </c>
      <c r="S41" s="1548">
        <f t="shared" si="184"/>
        <v>0</v>
      </c>
      <c r="T41" s="1549">
        <f ca="1">'2240'!C20</f>
        <v>0</v>
      </c>
      <c r="U41" s="1549">
        <f ca="1">'2240'!D20</f>
        <v>0</v>
      </c>
      <c r="V41" s="1549">
        <f ca="1">'2240'!E20</f>
        <v>0</v>
      </c>
      <c r="W41" s="1549">
        <f ca="1">'2240'!F20</f>
        <v>0</v>
      </c>
      <c r="X41" s="1549">
        <f ca="1">'2240'!G20</f>
        <v>0</v>
      </c>
      <c r="Y41" s="1549">
        <f ca="1">'2240'!H20</f>
        <v>0</v>
      </c>
      <c r="Z41" s="1549">
        <f ca="1">'2240'!I20</f>
        <v>0</v>
      </c>
      <c r="AA41" s="1549">
        <f ca="1">'2240'!J20</f>
        <v>0</v>
      </c>
      <c r="AB41" s="1549">
        <f ca="1">'2240'!K20</f>
        <v>0</v>
      </c>
      <c r="AC41" s="1549">
        <f ca="1">'2240'!L20</f>
        <v>0</v>
      </c>
      <c r="AD41" s="1549">
        <f ca="1">'2240'!M20</f>
        <v>0</v>
      </c>
      <c r="AE41" s="1549">
        <f ca="1">'2240'!N20</f>
        <v>0</v>
      </c>
      <c r="AF41" s="1414">
        <f t="shared" si="152"/>
        <v>0</v>
      </c>
      <c r="AG41" s="1414">
        <f t="shared" si="153"/>
        <v>0</v>
      </c>
      <c r="AH41" s="1414">
        <f t="shared" si="154"/>
        <v>0</v>
      </c>
      <c r="AI41" s="1414">
        <f t="shared" si="155"/>
        <v>0</v>
      </c>
      <c r="AJ41" s="1414">
        <f t="shared" si="156"/>
        <v>0</v>
      </c>
      <c r="AK41" s="1550"/>
      <c r="AL41" s="1550"/>
      <c r="AM41" s="1550"/>
      <c r="AN41" s="1550"/>
      <c r="AO41" s="1550"/>
      <c r="AP41" s="1550"/>
      <c r="AQ41" s="1550"/>
      <c r="AR41" s="1550"/>
      <c r="AS41" s="1550"/>
      <c r="AT41" s="1550"/>
      <c r="AU41" s="1550"/>
      <c r="AV41" s="1550"/>
      <c r="AW41" s="1414">
        <f t="shared" si="157"/>
        <v>0</v>
      </c>
      <c r="AX41" s="1414">
        <f t="shared" si="158"/>
        <v>0</v>
      </c>
      <c r="AY41" s="1414">
        <f t="shared" si="159"/>
        <v>0</v>
      </c>
      <c r="AZ41" s="1414">
        <f t="shared" si="160"/>
        <v>0</v>
      </c>
      <c r="BA41" s="1414">
        <f t="shared" si="161"/>
        <v>0</v>
      </c>
      <c r="BB41" s="1549"/>
      <c r="BC41" s="1549">
        <f t="shared" ref="BC41:BM41" si="186">BB41</f>
        <v>0</v>
      </c>
      <c r="BD41" s="1549">
        <f t="shared" si="186"/>
        <v>0</v>
      </c>
      <c r="BE41" s="1549">
        <f t="shared" si="186"/>
        <v>0</v>
      </c>
      <c r="BF41" s="1549">
        <f t="shared" si="186"/>
        <v>0</v>
      </c>
      <c r="BG41" s="1549">
        <f t="shared" si="186"/>
        <v>0</v>
      </c>
      <c r="BH41" s="1549">
        <f t="shared" si="186"/>
        <v>0</v>
      </c>
      <c r="BI41" s="1549">
        <f t="shared" si="186"/>
        <v>0</v>
      </c>
      <c r="BJ41" s="1549">
        <f t="shared" si="186"/>
        <v>0</v>
      </c>
      <c r="BK41" s="1549">
        <f t="shared" si="186"/>
        <v>0</v>
      </c>
      <c r="BL41" s="1549">
        <f t="shared" si="186"/>
        <v>0</v>
      </c>
      <c r="BM41" s="1549">
        <f t="shared" si="186"/>
        <v>0</v>
      </c>
      <c r="BN41" s="1414">
        <f t="shared" si="163"/>
        <v>0</v>
      </c>
      <c r="BO41" s="1414">
        <f t="shared" si="164"/>
        <v>0</v>
      </c>
      <c r="BP41" s="1414">
        <f t="shared" si="165"/>
        <v>0</v>
      </c>
      <c r="BQ41" s="1414">
        <f t="shared" si="166"/>
        <v>0</v>
      </c>
      <c r="BR41" s="1414">
        <f t="shared" si="167"/>
        <v>0</v>
      </c>
    </row>
    <row r="42" spans="1:70" ht="16.5">
      <c r="A42" s="481"/>
      <c r="B42" s="162" t="s">
        <v>1605</v>
      </c>
      <c r="C42" s="158">
        <f t="shared" si="168"/>
        <v>220</v>
      </c>
      <c r="D42" s="158">
        <f t="shared" si="169"/>
        <v>220</v>
      </c>
      <c r="E42" s="158">
        <f t="shared" si="170"/>
        <v>220</v>
      </c>
      <c r="F42" s="158">
        <f t="shared" si="171"/>
        <v>220</v>
      </c>
      <c r="G42" s="158">
        <f t="shared" si="172"/>
        <v>220</v>
      </c>
      <c r="H42" s="158">
        <f t="shared" si="173"/>
        <v>220</v>
      </c>
      <c r="I42" s="158">
        <f t="shared" si="174"/>
        <v>220</v>
      </c>
      <c r="J42" s="158">
        <f t="shared" si="175"/>
        <v>220</v>
      </c>
      <c r="K42" s="158">
        <f t="shared" si="176"/>
        <v>220</v>
      </c>
      <c r="L42" s="158">
        <f t="shared" si="177"/>
        <v>220</v>
      </c>
      <c r="M42" s="158">
        <f t="shared" si="178"/>
        <v>220</v>
      </c>
      <c r="N42" s="158">
        <f t="shared" si="179"/>
        <v>220</v>
      </c>
      <c r="O42" s="1548">
        <f t="shared" si="180"/>
        <v>660</v>
      </c>
      <c r="P42" s="1548">
        <f t="shared" si="181"/>
        <v>660</v>
      </c>
      <c r="Q42" s="1548">
        <f t="shared" si="182"/>
        <v>660</v>
      </c>
      <c r="R42" s="1548">
        <f t="shared" si="183"/>
        <v>660</v>
      </c>
      <c r="S42" s="1548">
        <f t="shared" si="184"/>
        <v>2640</v>
      </c>
      <c r="T42" s="1549">
        <f ca="1">'2240'!C21</f>
        <v>220</v>
      </c>
      <c r="U42" s="1549">
        <f ca="1">'2240'!D21</f>
        <v>220</v>
      </c>
      <c r="V42" s="1549">
        <f ca="1">'2240'!E21</f>
        <v>220</v>
      </c>
      <c r="W42" s="1549">
        <f ca="1">'2240'!F21</f>
        <v>220</v>
      </c>
      <c r="X42" s="1549">
        <f ca="1">'2240'!G21</f>
        <v>220</v>
      </c>
      <c r="Y42" s="1549">
        <f ca="1">'2240'!H21</f>
        <v>220</v>
      </c>
      <c r="Z42" s="1549">
        <f ca="1">'2240'!I21</f>
        <v>220</v>
      </c>
      <c r="AA42" s="1549">
        <f ca="1">'2240'!J21</f>
        <v>220</v>
      </c>
      <c r="AB42" s="1549">
        <f ca="1">'2240'!K21</f>
        <v>220</v>
      </c>
      <c r="AC42" s="1549">
        <f ca="1">'2240'!L21</f>
        <v>220</v>
      </c>
      <c r="AD42" s="1549">
        <f ca="1">'2240'!M21</f>
        <v>220</v>
      </c>
      <c r="AE42" s="1549">
        <f ca="1">'2240'!N21</f>
        <v>220</v>
      </c>
      <c r="AF42" s="1414">
        <f t="shared" si="152"/>
        <v>660</v>
      </c>
      <c r="AG42" s="1414">
        <f t="shared" si="153"/>
        <v>660</v>
      </c>
      <c r="AH42" s="1414">
        <f t="shared" si="154"/>
        <v>660</v>
      </c>
      <c r="AI42" s="1414">
        <f t="shared" si="155"/>
        <v>660</v>
      </c>
      <c r="AJ42" s="1414">
        <f t="shared" si="156"/>
        <v>2640</v>
      </c>
      <c r="AK42" s="1550"/>
      <c r="AL42" s="1550"/>
      <c r="AM42" s="1550"/>
      <c r="AN42" s="1550"/>
      <c r="AO42" s="1550"/>
      <c r="AP42" s="1550"/>
      <c r="AQ42" s="1550"/>
      <c r="AR42" s="1550"/>
      <c r="AS42" s="1550"/>
      <c r="AT42" s="1550"/>
      <c r="AU42" s="1550"/>
      <c r="AV42" s="1550"/>
      <c r="AW42" s="1414">
        <f t="shared" si="157"/>
        <v>0</v>
      </c>
      <c r="AX42" s="1414">
        <f t="shared" si="158"/>
        <v>0</v>
      </c>
      <c r="AY42" s="1414">
        <f t="shared" si="159"/>
        <v>0</v>
      </c>
      <c r="AZ42" s="1414">
        <f t="shared" si="160"/>
        <v>0</v>
      </c>
      <c r="BA42" s="1414">
        <f t="shared" si="161"/>
        <v>0</v>
      </c>
      <c r="BB42" s="1549"/>
      <c r="BC42" s="1549">
        <f t="shared" ref="BC42:BM42" si="187">BB42</f>
        <v>0</v>
      </c>
      <c r="BD42" s="1549">
        <f t="shared" si="187"/>
        <v>0</v>
      </c>
      <c r="BE42" s="1549">
        <f t="shared" si="187"/>
        <v>0</v>
      </c>
      <c r="BF42" s="1549">
        <f t="shared" si="187"/>
        <v>0</v>
      </c>
      <c r="BG42" s="1549">
        <f t="shared" si="187"/>
        <v>0</v>
      </c>
      <c r="BH42" s="1549">
        <f t="shared" si="187"/>
        <v>0</v>
      </c>
      <c r="BI42" s="1549">
        <f t="shared" si="187"/>
        <v>0</v>
      </c>
      <c r="BJ42" s="1549">
        <f t="shared" si="187"/>
        <v>0</v>
      </c>
      <c r="BK42" s="1549">
        <f t="shared" si="187"/>
        <v>0</v>
      </c>
      <c r="BL42" s="1549">
        <f t="shared" si="187"/>
        <v>0</v>
      </c>
      <c r="BM42" s="1549">
        <f t="shared" si="187"/>
        <v>0</v>
      </c>
      <c r="BN42" s="1414">
        <f t="shared" si="163"/>
        <v>0</v>
      </c>
      <c r="BO42" s="1414">
        <f t="shared" si="164"/>
        <v>0</v>
      </c>
      <c r="BP42" s="1414">
        <f t="shared" si="165"/>
        <v>0</v>
      </c>
      <c r="BQ42" s="1414">
        <f t="shared" si="166"/>
        <v>0</v>
      </c>
      <c r="BR42" s="1414">
        <f t="shared" si="167"/>
        <v>0</v>
      </c>
    </row>
    <row r="43" spans="1:70" ht="16.5">
      <c r="A43" s="481"/>
      <c r="B43" s="162" t="s">
        <v>1588</v>
      </c>
      <c r="C43" s="158">
        <f t="shared" si="168"/>
        <v>0</v>
      </c>
      <c r="D43" s="158">
        <f t="shared" si="169"/>
        <v>600</v>
      </c>
      <c r="E43" s="158">
        <f t="shared" si="170"/>
        <v>3330</v>
      </c>
      <c r="F43" s="158">
        <f t="shared" si="171"/>
        <v>300</v>
      </c>
      <c r="G43" s="158">
        <f t="shared" si="172"/>
        <v>300</v>
      </c>
      <c r="H43" s="158">
        <f t="shared" si="173"/>
        <v>300</v>
      </c>
      <c r="I43" s="158">
        <f t="shared" si="174"/>
        <v>300</v>
      </c>
      <c r="J43" s="158">
        <f t="shared" si="175"/>
        <v>300</v>
      </c>
      <c r="K43" s="158">
        <f t="shared" si="176"/>
        <v>300</v>
      </c>
      <c r="L43" s="158">
        <f t="shared" si="177"/>
        <v>300</v>
      </c>
      <c r="M43" s="158">
        <f t="shared" si="178"/>
        <v>300</v>
      </c>
      <c r="N43" s="158">
        <f t="shared" si="179"/>
        <v>300</v>
      </c>
      <c r="O43" s="1548">
        <f t="shared" si="180"/>
        <v>3930</v>
      </c>
      <c r="P43" s="1548">
        <f t="shared" si="181"/>
        <v>900</v>
      </c>
      <c r="Q43" s="1548">
        <f t="shared" si="182"/>
        <v>900</v>
      </c>
      <c r="R43" s="1548">
        <f t="shared" si="183"/>
        <v>900</v>
      </c>
      <c r="S43" s="1548">
        <f t="shared" si="184"/>
        <v>6630</v>
      </c>
      <c r="T43" s="1549">
        <f ca="1">'2240'!C22</f>
        <v>0</v>
      </c>
      <c r="U43" s="1549">
        <f ca="1">'2240'!D22</f>
        <v>600</v>
      </c>
      <c r="V43" s="1549">
        <f ca="1">'2240'!E22</f>
        <v>3330</v>
      </c>
      <c r="W43" s="1549">
        <f ca="1">'2240'!F22</f>
        <v>300</v>
      </c>
      <c r="X43" s="1549">
        <f ca="1">'2240'!G22</f>
        <v>300</v>
      </c>
      <c r="Y43" s="1549">
        <f ca="1">'2240'!H22</f>
        <v>300</v>
      </c>
      <c r="Z43" s="1549">
        <f ca="1">'2240'!I22</f>
        <v>300</v>
      </c>
      <c r="AA43" s="1549">
        <f ca="1">'2240'!J22</f>
        <v>300</v>
      </c>
      <c r="AB43" s="1549">
        <f ca="1">'2240'!K22</f>
        <v>300</v>
      </c>
      <c r="AC43" s="1549">
        <f ca="1">'2240'!L22</f>
        <v>300</v>
      </c>
      <c r="AD43" s="1549">
        <f ca="1">'2240'!M22</f>
        <v>300</v>
      </c>
      <c r="AE43" s="1549">
        <f ca="1">'2240'!N22</f>
        <v>300</v>
      </c>
      <c r="AF43" s="1414">
        <f t="shared" si="152"/>
        <v>3930</v>
      </c>
      <c r="AG43" s="1414">
        <f t="shared" si="153"/>
        <v>900</v>
      </c>
      <c r="AH43" s="1414">
        <f t="shared" si="154"/>
        <v>900</v>
      </c>
      <c r="AI43" s="1414">
        <f t="shared" si="155"/>
        <v>900</v>
      </c>
      <c r="AJ43" s="1414">
        <f t="shared" si="156"/>
        <v>6630</v>
      </c>
      <c r="AK43" s="1550"/>
      <c r="AL43" s="1550"/>
      <c r="AM43" s="1550"/>
      <c r="AN43" s="1550"/>
      <c r="AO43" s="1550"/>
      <c r="AP43" s="1550"/>
      <c r="AQ43" s="1550"/>
      <c r="AR43" s="1550"/>
      <c r="AS43" s="1550"/>
      <c r="AT43" s="1550"/>
      <c r="AU43" s="1550"/>
      <c r="AV43" s="1550"/>
      <c r="AW43" s="1414">
        <f t="shared" si="157"/>
        <v>0</v>
      </c>
      <c r="AX43" s="1414">
        <f t="shared" si="158"/>
        <v>0</v>
      </c>
      <c r="AY43" s="1414">
        <f t="shared" si="159"/>
        <v>0</v>
      </c>
      <c r="AZ43" s="1414">
        <f t="shared" si="160"/>
        <v>0</v>
      </c>
      <c r="BA43" s="1414">
        <f t="shared" si="161"/>
        <v>0</v>
      </c>
      <c r="BB43" s="1549"/>
      <c r="BC43" s="1549">
        <f t="shared" ref="BC43:BM43" si="188">BB43</f>
        <v>0</v>
      </c>
      <c r="BD43" s="1549">
        <f t="shared" si="188"/>
        <v>0</v>
      </c>
      <c r="BE43" s="1549">
        <f t="shared" si="188"/>
        <v>0</v>
      </c>
      <c r="BF43" s="1549">
        <f t="shared" si="188"/>
        <v>0</v>
      </c>
      <c r="BG43" s="1549">
        <f t="shared" si="188"/>
        <v>0</v>
      </c>
      <c r="BH43" s="1549">
        <f t="shared" si="188"/>
        <v>0</v>
      </c>
      <c r="BI43" s="1549">
        <f t="shared" si="188"/>
        <v>0</v>
      </c>
      <c r="BJ43" s="1549">
        <f t="shared" si="188"/>
        <v>0</v>
      </c>
      <c r="BK43" s="1549">
        <f t="shared" si="188"/>
        <v>0</v>
      </c>
      <c r="BL43" s="1549">
        <f t="shared" si="188"/>
        <v>0</v>
      </c>
      <c r="BM43" s="1549">
        <f t="shared" si="188"/>
        <v>0</v>
      </c>
      <c r="BN43" s="1414">
        <f t="shared" si="163"/>
        <v>0</v>
      </c>
      <c r="BO43" s="1414">
        <f t="shared" si="164"/>
        <v>0</v>
      </c>
      <c r="BP43" s="1414">
        <f t="shared" si="165"/>
        <v>0</v>
      </c>
      <c r="BQ43" s="1414">
        <f t="shared" si="166"/>
        <v>0</v>
      </c>
      <c r="BR43" s="1414">
        <f t="shared" si="167"/>
        <v>0</v>
      </c>
    </row>
    <row r="44" spans="1:70" ht="16.5">
      <c r="A44" s="481"/>
      <c r="B44" s="165" t="s">
        <v>1589</v>
      </c>
      <c r="C44" s="158">
        <f t="shared" si="168"/>
        <v>800</v>
      </c>
      <c r="D44" s="158">
        <f t="shared" si="169"/>
        <v>1371.85</v>
      </c>
      <c r="E44" s="158">
        <f t="shared" si="170"/>
        <v>1623.44</v>
      </c>
      <c r="F44" s="158">
        <f t="shared" si="171"/>
        <v>1643.6399999999999</v>
      </c>
      <c r="G44" s="158">
        <f t="shared" si="172"/>
        <v>1458.9099999999999</v>
      </c>
      <c r="H44" s="158">
        <f t="shared" si="173"/>
        <v>1462.22</v>
      </c>
      <c r="I44" s="158">
        <f t="shared" si="174"/>
        <v>800</v>
      </c>
      <c r="J44" s="158">
        <f t="shared" si="175"/>
        <v>1459.83</v>
      </c>
      <c r="K44" s="158">
        <f t="shared" si="176"/>
        <v>1131.6600000000001</v>
      </c>
      <c r="L44" s="158">
        <f t="shared" si="177"/>
        <v>1123.99</v>
      </c>
      <c r="M44" s="158">
        <f t="shared" si="178"/>
        <v>1129.6199999999999</v>
      </c>
      <c r="N44" s="158">
        <f t="shared" si="179"/>
        <v>1129.6199999999999</v>
      </c>
      <c r="O44" s="1548">
        <f t="shared" si="180"/>
        <v>3795.29</v>
      </c>
      <c r="P44" s="1548">
        <f t="shared" si="181"/>
        <v>4564.7699999999995</v>
      </c>
      <c r="Q44" s="1548">
        <f t="shared" si="182"/>
        <v>3391.49</v>
      </c>
      <c r="R44" s="1548">
        <f t="shared" si="183"/>
        <v>3383.2299999999996</v>
      </c>
      <c r="S44" s="1548">
        <f t="shared" si="184"/>
        <v>15134.779999999999</v>
      </c>
      <c r="T44" s="1549">
        <f ca="1">'2240'!C23</f>
        <v>800</v>
      </c>
      <c r="U44" s="1549">
        <f ca="1">'2240'!D23</f>
        <v>1371.85</v>
      </c>
      <c r="V44" s="1549">
        <f ca="1">'2240'!E23</f>
        <v>1623.44</v>
      </c>
      <c r="W44" s="1549">
        <f ca="1">'2240'!F23</f>
        <v>1643.6399999999999</v>
      </c>
      <c r="X44" s="1549">
        <f ca="1">'2240'!G23</f>
        <v>1458.9099999999999</v>
      </c>
      <c r="Y44" s="1549">
        <f ca="1">'2240'!H23</f>
        <v>1462.22</v>
      </c>
      <c r="Z44" s="1549">
        <f ca="1">'2240'!I23</f>
        <v>800</v>
      </c>
      <c r="AA44" s="1549">
        <f ca="1">'2240'!J23</f>
        <v>1459.83</v>
      </c>
      <c r="AB44" s="1549">
        <f ca="1">'2240'!K23</f>
        <v>1131.6600000000001</v>
      </c>
      <c r="AC44" s="1549">
        <f ca="1">'2240'!L23</f>
        <v>1123.99</v>
      </c>
      <c r="AD44" s="1549">
        <f ca="1">'2240'!M23</f>
        <v>1129.6199999999999</v>
      </c>
      <c r="AE44" s="1549">
        <f ca="1">'2240'!N23</f>
        <v>1129.6199999999999</v>
      </c>
      <c r="AF44" s="1414">
        <f t="shared" si="152"/>
        <v>3795.29</v>
      </c>
      <c r="AG44" s="1414">
        <f t="shared" si="153"/>
        <v>4564.7699999999995</v>
      </c>
      <c r="AH44" s="1414">
        <f t="shared" si="154"/>
        <v>3391.49</v>
      </c>
      <c r="AI44" s="1414">
        <f t="shared" si="155"/>
        <v>3383.2299999999996</v>
      </c>
      <c r="AJ44" s="1414">
        <f t="shared" si="156"/>
        <v>15134.779999999999</v>
      </c>
      <c r="AK44" s="1550"/>
      <c r="AL44" s="1550"/>
      <c r="AM44" s="1550"/>
      <c r="AN44" s="1550"/>
      <c r="AO44" s="1550"/>
      <c r="AP44" s="1550"/>
      <c r="AQ44" s="1550"/>
      <c r="AR44" s="1550"/>
      <c r="AS44" s="1550"/>
      <c r="AT44" s="1550"/>
      <c r="AU44" s="1550"/>
      <c r="AV44" s="1550"/>
      <c r="AW44" s="1414">
        <f t="shared" si="157"/>
        <v>0</v>
      </c>
      <c r="AX44" s="1414">
        <f t="shared" si="158"/>
        <v>0</v>
      </c>
      <c r="AY44" s="1414">
        <f t="shared" si="159"/>
        <v>0</v>
      </c>
      <c r="AZ44" s="1414">
        <f t="shared" si="160"/>
        <v>0</v>
      </c>
      <c r="BA44" s="1414">
        <f t="shared" si="161"/>
        <v>0</v>
      </c>
      <c r="BB44" s="1549"/>
      <c r="BC44" s="1549">
        <f t="shared" ref="BC44:BM44" si="189">BB44</f>
        <v>0</v>
      </c>
      <c r="BD44" s="1549">
        <f t="shared" si="189"/>
        <v>0</v>
      </c>
      <c r="BE44" s="1549">
        <f t="shared" si="189"/>
        <v>0</v>
      </c>
      <c r="BF44" s="1549">
        <f t="shared" si="189"/>
        <v>0</v>
      </c>
      <c r="BG44" s="1549">
        <f t="shared" si="189"/>
        <v>0</v>
      </c>
      <c r="BH44" s="1549">
        <f t="shared" si="189"/>
        <v>0</v>
      </c>
      <c r="BI44" s="1549">
        <f t="shared" si="189"/>
        <v>0</v>
      </c>
      <c r="BJ44" s="1549">
        <f t="shared" si="189"/>
        <v>0</v>
      </c>
      <c r="BK44" s="1549">
        <f t="shared" si="189"/>
        <v>0</v>
      </c>
      <c r="BL44" s="1549">
        <f t="shared" si="189"/>
        <v>0</v>
      </c>
      <c r="BM44" s="1549">
        <f t="shared" si="189"/>
        <v>0</v>
      </c>
      <c r="BN44" s="1414">
        <f t="shared" si="163"/>
        <v>0</v>
      </c>
      <c r="BO44" s="1414">
        <f t="shared" si="164"/>
        <v>0</v>
      </c>
      <c r="BP44" s="1414">
        <f t="shared" si="165"/>
        <v>0</v>
      </c>
      <c r="BQ44" s="1414">
        <f t="shared" si="166"/>
        <v>0</v>
      </c>
      <c r="BR44" s="1414">
        <f t="shared" si="167"/>
        <v>0</v>
      </c>
    </row>
    <row r="45" spans="1:70" ht="16.5">
      <c r="A45" s="481"/>
      <c r="B45" s="165" t="s">
        <v>1590</v>
      </c>
      <c r="C45" s="158">
        <f t="shared" si="168"/>
        <v>0</v>
      </c>
      <c r="D45" s="158">
        <f t="shared" si="169"/>
        <v>0</v>
      </c>
      <c r="E45" s="158">
        <f t="shared" si="170"/>
        <v>20832</v>
      </c>
      <c r="F45" s="158">
        <f t="shared" si="171"/>
        <v>4800</v>
      </c>
      <c r="G45" s="158">
        <f t="shared" si="172"/>
        <v>6744</v>
      </c>
      <c r="H45" s="158">
        <f t="shared" si="173"/>
        <v>10896</v>
      </c>
      <c r="I45" s="158">
        <f t="shared" si="174"/>
        <v>12216</v>
      </c>
      <c r="J45" s="158">
        <f t="shared" si="175"/>
        <v>7224</v>
      </c>
      <c r="K45" s="158">
        <f t="shared" si="176"/>
        <v>10608</v>
      </c>
      <c r="L45" s="158">
        <f t="shared" si="177"/>
        <v>15960</v>
      </c>
      <c r="M45" s="158">
        <f t="shared" si="178"/>
        <v>6720</v>
      </c>
      <c r="N45" s="158">
        <f t="shared" si="179"/>
        <v>19000</v>
      </c>
      <c r="O45" s="1548">
        <f t="shared" si="180"/>
        <v>20832</v>
      </c>
      <c r="P45" s="1548">
        <f t="shared" si="181"/>
        <v>22440</v>
      </c>
      <c r="Q45" s="1548">
        <f t="shared" si="182"/>
        <v>30048</v>
      </c>
      <c r="R45" s="1548">
        <f t="shared" si="183"/>
        <v>41680</v>
      </c>
      <c r="S45" s="1548">
        <f t="shared" si="184"/>
        <v>115000</v>
      </c>
      <c r="T45" s="1549">
        <f ca="1">'2240'!C24</f>
        <v>0</v>
      </c>
      <c r="U45" s="1549">
        <f ca="1">'2240'!D24</f>
        <v>0</v>
      </c>
      <c r="V45" s="1549">
        <f ca="1">'2240'!E24</f>
        <v>20832</v>
      </c>
      <c r="W45" s="1549">
        <f ca="1">'2240'!F24</f>
        <v>4800</v>
      </c>
      <c r="X45" s="1549">
        <f ca="1">'2240'!G24</f>
        <v>6744</v>
      </c>
      <c r="Y45" s="1549">
        <f ca="1">'2240'!H24</f>
        <v>10896</v>
      </c>
      <c r="Z45" s="1549">
        <f ca="1">'2240'!I24</f>
        <v>12216</v>
      </c>
      <c r="AA45" s="1549">
        <f ca="1">'2240'!J24</f>
        <v>7224</v>
      </c>
      <c r="AB45" s="1549">
        <f ca="1">'2240'!K24</f>
        <v>10608</v>
      </c>
      <c r="AC45" s="1549">
        <f ca="1">'2240'!L24</f>
        <v>15960</v>
      </c>
      <c r="AD45" s="1549">
        <f ca="1">'2240'!M24</f>
        <v>6720</v>
      </c>
      <c r="AE45" s="1549">
        <f ca="1">'2240'!N24</f>
        <v>19000</v>
      </c>
      <c r="AF45" s="1414">
        <f t="shared" si="152"/>
        <v>20832</v>
      </c>
      <c r="AG45" s="1414">
        <f t="shared" si="153"/>
        <v>22440</v>
      </c>
      <c r="AH45" s="1414">
        <f t="shared" si="154"/>
        <v>30048</v>
      </c>
      <c r="AI45" s="1414">
        <f t="shared" si="155"/>
        <v>41680</v>
      </c>
      <c r="AJ45" s="1414">
        <f t="shared" si="156"/>
        <v>115000</v>
      </c>
      <c r="AK45" s="1550"/>
      <c r="AL45" s="1550"/>
      <c r="AM45" s="1550"/>
      <c r="AN45" s="1550"/>
      <c r="AO45" s="1550"/>
      <c r="AP45" s="1550"/>
      <c r="AQ45" s="1550"/>
      <c r="AR45" s="1550"/>
      <c r="AS45" s="1550"/>
      <c r="AT45" s="1550"/>
      <c r="AU45" s="1550"/>
      <c r="AV45" s="1550"/>
      <c r="AW45" s="1414">
        <f t="shared" si="157"/>
        <v>0</v>
      </c>
      <c r="AX45" s="1414">
        <f t="shared" si="158"/>
        <v>0</v>
      </c>
      <c r="AY45" s="1414">
        <f t="shared" si="159"/>
        <v>0</v>
      </c>
      <c r="AZ45" s="1414">
        <f t="shared" si="160"/>
        <v>0</v>
      </c>
      <c r="BA45" s="1414">
        <f t="shared" si="161"/>
        <v>0</v>
      </c>
      <c r="BB45" s="1549"/>
      <c r="BC45" s="1549">
        <f t="shared" ref="BC45:BM45" si="190">BB45</f>
        <v>0</v>
      </c>
      <c r="BD45" s="1549">
        <f t="shared" si="190"/>
        <v>0</v>
      </c>
      <c r="BE45" s="1549">
        <f t="shared" si="190"/>
        <v>0</v>
      </c>
      <c r="BF45" s="1549">
        <f t="shared" si="190"/>
        <v>0</v>
      </c>
      <c r="BG45" s="1549">
        <f t="shared" si="190"/>
        <v>0</v>
      </c>
      <c r="BH45" s="1549">
        <f t="shared" si="190"/>
        <v>0</v>
      </c>
      <c r="BI45" s="1549">
        <f t="shared" si="190"/>
        <v>0</v>
      </c>
      <c r="BJ45" s="1549">
        <f t="shared" si="190"/>
        <v>0</v>
      </c>
      <c r="BK45" s="1549">
        <f t="shared" si="190"/>
        <v>0</v>
      </c>
      <c r="BL45" s="1549">
        <f t="shared" si="190"/>
        <v>0</v>
      </c>
      <c r="BM45" s="1549">
        <f t="shared" si="190"/>
        <v>0</v>
      </c>
      <c r="BN45" s="1414">
        <f t="shared" si="163"/>
        <v>0</v>
      </c>
      <c r="BO45" s="1414">
        <f t="shared" si="164"/>
        <v>0</v>
      </c>
      <c r="BP45" s="1414">
        <f t="shared" si="165"/>
        <v>0</v>
      </c>
      <c r="BQ45" s="1414">
        <f t="shared" si="166"/>
        <v>0</v>
      </c>
      <c r="BR45" s="1414">
        <f t="shared" si="167"/>
        <v>0</v>
      </c>
    </row>
    <row r="46" spans="1:70" ht="16.5">
      <c r="A46" s="481"/>
      <c r="B46" s="166" t="s">
        <v>1591</v>
      </c>
      <c r="C46" s="158">
        <f t="shared" si="168"/>
        <v>2790</v>
      </c>
      <c r="D46" s="158">
        <f t="shared" si="169"/>
        <v>2790</v>
      </c>
      <c r="E46" s="158">
        <f t="shared" si="170"/>
        <v>2790</v>
      </c>
      <c r="F46" s="158">
        <f t="shared" si="171"/>
        <v>2790</v>
      </c>
      <c r="G46" s="158">
        <f t="shared" si="172"/>
        <v>2790</v>
      </c>
      <c r="H46" s="158">
        <f t="shared" si="173"/>
        <v>2790</v>
      </c>
      <c r="I46" s="158">
        <f t="shared" si="174"/>
        <v>2790</v>
      </c>
      <c r="J46" s="158">
        <f t="shared" si="175"/>
        <v>2790</v>
      </c>
      <c r="K46" s="158">
        <f t="shared" si="176"/>
        <v>2790</v>
      </c>
      <c r="L46" s="158">
        <f t="shared" si="177"/>
        <v>2790</v>
      </c>
      <c r="M46" s="158">
        <f t="shared" si="178"/>
        <v>2790</v>
      </c>
      <c r="N46" s="158">
        <f t="shared" si="179"/>
        <v>2790</v>
      </c>
      <c r="O46" s="1548">
        <f t="shared" si="180"/>
        <v>8370</v>
      </c>
      <c r="P46" s="1548">
        <f t="shared" si="181"/>
        <v>8370</v>
      </c>
      <c r="Q46" s="1548">
        <f t="shared" si="182"/>
        <v>8370</v>
      </c>
      <c r="R46" s="1548">
        <f t="shared" si="183"/>
        <v>8370</v>
      </c>
      <c r="S46" s="1548">
        <f t="shared" si="184"/>
        <v>33480</v>
      </c>
      <c r="T46" s="1549">
        <f ca="1">'2240'!C25</f>
        <v>2790</v>
      </c>
      <c r="U46" s="1549">
        <f ca="1">'2240'!D25</f>
        <v>2790</v>
      </c>
      <c r="V46" s="1549">
        <f ca="1">'2240'!E25</f>
        <v>2790</v>
      </c>
      <c r="W46" s="1549">
        <f ca="1">'2240'!F25</f>
        <v>2790</v>
      </c>
      <c r="X46" s="1549">
        <f ca="1">'2240'!G25</f>
        <v>2790</v>
      </c>
      <c r="Y46" s="1549">
        <f ca="1">'2240'!H25</f>
        <v>2790</v>
      </c>
      <c r="Z46" s="1549">
        <f ca="1">'2240'!I25</f>
        <v>2790</v>
      </c>
      <c r="AA46" s="1549">
        <f ca="1">'2240'!J25</f>
        <v>2790</v>
      </c>
      <c r="AB46" s="1549">
        <f ca="1">'2240'!K25</f>
        <v>2790</v>
      </c>
      <c r="AC46" s="1549">
        <f ca="1">'2240'!L25</f>
        <v>2790</v>
      </c>
      <c r="AD46" s="1549">
        <f ca="1">'2240'!M25</f>
        <v>2790</v>
      </c>
      <c r="AE46" s="1549">
        <f ca="1">'2240'!N25</f>
        <v>2790</v>
      </c>
      <c r="AF46" s="1414">
        <f t="shared" si="152"/>
        <v>8370</v>
      </c>
      <c r="AG46" s="1414">
        <f t="shared" si="153"/>
        <v>8370</v>
      </c>
      <c r="AH46" s="1414">
        <f t="shared" si="154"/>
        <v>8370</v>
      </c>
      <c r="AI46" s="1414">
        <f t="shared" si="155"/>
        <v>8370</v>
      </c>
      <c r="AJ46" s="1414">
        <f t="shared" si="156"/>
        <v>33480</v>
      </c>
      <c r="AK46" s="1550"/>
      <c r="AL46" s="1550"/>
      <c r="AM46" s="1550"/>
      <c r="AN46" s="1550"/>
      <c r="AO46" s="1550"/>
      <c r="AP46" s="1550"/>
      <c r="AQ46" s="1550"/>
      <c r="AR46" s="1550"/>
      <c r="AS46" s="1550"/>
      <c r="AT46" s="1550"/>
      <c r="AU46" s="1550"/>
      <c r="AV46" s="1550"/>
      <c r="AW46" s="1414">
        <f t="shared" si="157"/>
        <v>0</v>
      </c>
      <c r="AX46" s="1414">
        <f t="shared" si="158"/>
        <v>0</v>
      </c>
      <c r="AY46" s="1414">
        <f t="shared" si="159"/>
        <v>0</v>
      </c>
      <c r="AZ46" s="1414">
        <f t="shared" si="160"/>
        <v>0</v>
      </c>
      <c r="BA46" s="1414">
        <f t="shared" si="161"/>
        <v>0</v>
      </c>
      <c r="BB46" s="1549"/>
      <c r="BC46" s="1549">
        <f t="shared" ref="BC46:BM46" si="191">BB46</f>
        <v>0</v>
      </c>
      <c r="BD46" s="1549">
        <f t="shared" si="191"/>
        <v>0</v>
      </c>
      <c r="BE46" s="1549">
        <f t="shared" si="191"/>
        <v>0</v>
      </c>
      <c r="BF46" s="1549">
        <f t="shared" si="191"/>
        <v>0</v>
      </c>
      <c r="BG46" s="1549">
        <f t="shared" si="191"/>
        <v>0</v>
      </c>
      <c r="BH46" s="1549">
        <f t="shared" si="191"/>
        <v>0</v>
      </c>
      <c r="BI46" s="1549">
        <f t="shared" si="191"/>
        <v>0</v>
      </c>
      <c r="BJ46" s="1549">
        <f t="shared" si="191"/>
        <v>0</v>
      </c>
      <c r="BK46" s="1549">
        <f t="shared" si="191"/>
        <v>0</v>
      </c>
      <c r="BL46" s="1549">
        <f t="shared" si="191"/>
        <v>0</v>
      </c>
      <c r="BM46" s="1549">
        <f t="shared" si="191"/>
        <v>0</v>
      </c>
      <c r="BN46" s="1414">
        <f t="shared" si="163"/>
        <v>0</v>
      </c>
      <c r="BO46" s="1414">
        <f t="shared" si="164"/>
        <v>0</v>
      </c>
      <c r="BP46" s="1414">
        <f t="shared" si="165"/>
        <v>0</v>
      </c>
      <c r="BQ46" s="1414">
        <f t="shared" si="166"/>
        <v>0</v>
      </c>
      <c r="BR46" s="1414">
        <f t="shared" si="167"/>
        <v>0</v>
      </c>
    </row>
    <row r="47" spans="1:70" ht="16.5">
      <c r="A47" s="481"/>
      <c r="B47" s="166" t="s">
        <v>1592</v>
      </c>
      <c r="C47" s="158">
        <f t="shared" si="168"/>
        <v>0</v>
      </c>
      <c r="D47" s="158">
        <f t="shared" si="169"/>
        <v>0</v>
      </c>
      <c r="E47" s="158">
        <f t="shared" si="170"/>
        <v>0</v>
      </c>
      <c r="F47" s="158">
        <f t="shared" si="171"/>
        <v>0</v>
      </c>
      <c r="G47" s="158">
        <f t="shared" si="172"/>
        <v>0</v>
      </c>
      <c r="H47" s="158">
        <f t="shared" si="173"/>
        <v>0</v>
      </c>
      <c r="I47" s="158">
        <f t="shared" si="174"/>
        <v>0</v>
      </c>
      <c r="J47" s="158">
        <f t="shared" si="175"/>
        <v>0</v>
      </c>
      <c r="K47" s="158">
        <f t="shared" si="176"/>
        <v>0</v>
      </c>
      <c r="L47" s="158">
        <f t="shared" si="177"/>
        <v>0</v>
      </c>
      <c r="M47" s="158">
        <f t="shared" si="178"/>
        <v>0</v>
      </c>
      <c r="N47" s="158">
        <f t="shared" si="179"/>
        <v>0</v>
      </c>
      <c r="O47" s="1548">
        <f t="shared" si="180"/>
        <v>0</v>
      </c>
      <c r="P47" s="1548">
        <f t="shared" si="181"/>
        <v>0</v>
      </c>
      <c r="Q47" s="1548">
        <f t="shared" si="182"/>
        <v>0</v>
      </c>
      <c r="R47" s="1548">
        <f t="shared" si="183"/>
        <v>0</v>
      </c>
      <c r="S47" s="1548">
        <f t="shared" si="184"/>
        <v>0</v>
      </c>
      <c r="T47" s="1549">
        <f ca="1">'2240'!C26</f>
        <v>0</v>
      </c>
      <c r="U47" s="1549">
        <f ca="1">'2240'!D26</f>
        <v>0</v>
      </c>
      <c r="V47" s="1549">
        <f ca="1">'2240'!E26</f>
        <v>0</v>
      </c>
      <c r="W47" s="1549">
        <f ca="1">'2240'!F26</f>
        <v>0</v>
      </c>
      <c r="X47" s="1549">
        <f ca="1">'2240'!G26</f>
        <v>0</v>
      </c>
      <c r="Y47" s="1549">
        <f ca="1">'2240'!H26</f>
        <v>0</v>
      </c>
      <c r="Z47" s="1549">
        <f ca="1">'2240'!I26</f>
        <v>0</v>
      </c>
      <c r="AA47" s="1549">
        <f ca="1">'2240'!J26</f>
        <v>0</v>
      </c>
      <c r="AB47" s="1549">
        <f ca="1">'2240'!K26</f>
        <v>0</v>
      </c>
      <c r="AC47" s="1549">
        <f ca="1">'2240'!L26</f>
        <v>0</v>
      </c>
      <c r="AD47" s="1549">
        <f ca="1">'2240'!M26</f>
        <v>0</v>
      </c>
      <c r="AE47" s="1549">
        <f ca="1">'2240'!N26</f>
        <v>0</v>
      </c>
      <c r="AF47" s="1414">
        <f t="shared" si="152"/>
        <v>0</v>
      </c>
      <c r="AG47" s="1414">
        <f t="shared" si="153"/>
        <v>0</v>
      </c>
      <c r="AH47" s="1414">
        <f t="shared" si="154"/>
        <v>0</v>
      </c>
      <c r="AI47" s="1414">
        <f t="shared" si="155"/>
        <v>0</v>
      </c>
      <c r="AJ47" s="1414">
        <f t="shared" si="156"/>
        <v>0</v>
      </c>
      <c r="AK47" s="1550"/>
      <c r="AL47" s="1550"/>
      <c r="AM47" s="1550"/>
      <c r="AN47" s="1550"/>
      <c r="AO47" s="1550"/>
      <c r="AP47" s="1550"/>
      <c r="AQ47" s="1550"/>
      <c r="AR47" s="1550"/>
      <c r="AS47" s="1550"/>
      <c r="AT47" s="1550"/>
      <c r="AU47" s="1550"/>
      <c r="AV47" s="1550"/>
      <c r="AW47" s="1414">
        <f t="shared" si="157"/>
        <v>0</v>
      </c>
      <c r="AX47" s="1414">
        <f t="shared" si="158"/>
        <v>0</v>
      </c>
      <c r="AY47" s="1414">
        <f t="shared" si="159"/>
        <v>0</v>
      </c>
      <c r="AZ47" s="1414">
        <f t="shared" si="160"/>
        <v>0</v>
      </c>
      <c r="BA47" s="1414">
        <f t="shared" si="161"/>
        <v>0</v>
      </c>
      <c r="BB47" s="1549"/>
      <c r="BC47" s="1549">
        <f t="shared" ref="BC47:BM47" si="192">BB47</f>
        <v>0</v>
      </c>
      <c r="BD47" s="1549">
        <f t="shared" si="192"/>
        <v>0</v>
      </c>
      <c r="BE47" s="1549">
        <f t="shared" si="192"/>
        <v>0</v>
      </c>
      <c r="BF47" s="1549">
        <f t="shared" si="192"/>
        <v>0</v>
      </c>
      <c r="BG47" s="1549">
        <f t="shared" si="192"/>
        <v>0</v>
      </c>
      <c r="BH47" s="1549">
        <f t="shared" si="192"/>
        <v>0</v>
      </c>
      <c r="BI47" s="1549">
        <f t="shared" si="192"/>
        <v>0</v>
      </c>
      <c r="BJ47" s="1549">
        <f t="shared" si="192"/>
        <v>0</v>
      </c>
      <c r="BK47" s="1549">
        <f t="shared" si="192"/>
        <v>0</v>
      </c>
      <c r="BL47" s="1549">
        <f t="shared" si="192"/>
        <v>0</v>
      </c>
      <c r="BM47" s="1549">
        <f t="shared" si="192"/>
        <v>0</v>
      </c>
      <c r="BN47" s="1414">
        <f t="shared" si="163"/>
        <v>0</v>
      </c>
      <c r="BO47" s="1414">
        <f t="shared" si="164"/>
        <v>0</v>
      </c>
      <c r="BP47" s="1414">
        <f t="shared" si="165"/>
        <v>0</v>
      </c>
      <c r="BQ47" s="1414">
        <f t="shared" si="166"/>
        <v>0</v>
      </c>
      <c r="BR47" s="1414">
        <f t="shared" si="167"/>
        <v>0</v>
      </c>
    </row>
    <row r="48" spans="1:70" ht="16.5">
      <c r="A48" s="481"/>
      <c r="B48" s="166" t="s">
        <v>1593</v>
      </c>
      <c r="C48" s="158">
        <f t="shared" si="168"/>
        <v>0</v>
      </c>
      <c r="D48" s="158">
        <f t="shared" si="169"/>
        <v>0</v>
      </c>
      <c r="E48" s="158">
        <f t="shared" si="170"/>
        <v>0</v>
      </c>
      <c r="F48" s="158">
        <f t="shared" si="171"/>
        <v>0</v>
      </c>
      <c r="G48" s="158">
        <f t="shared" si="172"/>
        <v>0</v>
      </c>
      <c r="H48" s="158">
        <f t="shared" si="173"/>
        <v>0</v>
      </c>
      <c r="I48" s="158">
        <f t="shared" si="174"/>
        <v>0</v>
      </c>
      <c r="J48" s="158">
        <f t="shared" si="175"/>
        <v>0</v>
      </c>
      <c r="K48" s="158">
        <f t="shared" si="176"/>
        <v>0</v>
      </c>
      <c r="L48" s="158">
        <f t="shared" si="177"/>
        <v>0</v>
      </c>
      <c r="M48" s="158">
        <f t="shared" si="178"/>
        <v>0</v>
      </c>
      <c r="N48" s="158">
        <f t="shared" si="179"/>
        <v>0</v>
      </c>
      <c r="O48" s="1548">
        <f t="shared" si="180"/>
        <v>0</v>
      </c>
      <c r="P48" s="1548">
        <f t="shared" si="181"/>
        <v>0</v>
      </c>
      <c r="Q48" s="1548">
        <f t="shared" si="182"/>
        <v>0</v>
      </c>
      <c r="R48" s="1548">
        <f t="shared" si="183"/>
        <v>0</v>
      </c>
      <c r="S48" s="1548">
        <f t="shared" si="184"/>
        <v>0</v>
      </c>
      <c r="T48" s="1549">
        <f ca="1">'2240'!C27</f>
        <v>0</v>
      </c>
      <c r="U48" s="1549">
        <f ca="1">'2240'!D27</f>
        <v>0</v>
      </c>
      <c r="V48" s="1549">
        <f ca="1">'2240'!E27</f>
        <v>0</v>
      </c>
      <c r="W48" s="1549">
        <f ca="1">'2240'!F27</f>
        <v>0</v>
      </c>
      <c r="X48" s="1549">
        <f ca="1">'2240'!G27</f>
        <v>0</v>
      </c>
      <c r="Y48" s="1549">
        <f ca="1">'2240'!H27</f>
        <v>0</v>
      </c>
      <c r="Z48" s="1549">
        <f ca="1">'2240'!I27</f>
        <v>0</v>
      </c>
      <c r="AA48" s="1549">
        <f ca="1">'2240'!J27</f>
        <v>0</v>
      </c>
      <c r="AB48" s="1549">
        <f ca="1">'2240'!K27</f>
        <v>0</v>
      </c>
      <c r="AC48" s="1549">
        <f ca="1">'2240'!L27</f>
        <v>0</v>
      </c>
      <c r="AD48" s="1549">
        <f ca="1">'2240'!M27</f>
        <v>0</v>
      </c>
      <c r="AE48" s="1549">
        <f ca="1">'2240'!N27</f>
        <v>0</v>
      </c>
      <c r="AF48" s="1414">
        <f t="shared" si="152"/>
        <v>0</v>
      </c>
      <c r="AG48" s="1414">
        <f t="shared" si="153"/>
        <v>0</v>
      </c>
      <c r="AH48" s="1414">
        <f t="shared" si="154"/>
        <v>0</v>
      </c>
      <c r="AI48" s="1414">
        <f t="shared" si="155"/>
        <v>0</v>
      </c>
      <c r="AJ48" s="1414">
        <f t="shared" si="156"/>
        <v>0</v>
      </c>
      <c r="AK48" s="1550"/>
      <c r="AL48" s="1550"/>
      <c r="AM48" s="1550"/>
      <c r="AN48" s="1550"/>
      <c r="AO48" s="1550"/>
      <c r="AP48" s="1550"/>
      <c r="AQ48" s="1550"/>
      <c r="AR48" s="1550"/>
      <c r="AS48" s="1550"/>
      <c r="AT48" s="1550"/>
      <c r="AU48" s="1550"/>
      <c r="AV48" s="1550"/>
      <c r="AW48" s="1414">
        <f t="shared" si="157"/>
        <v>0</v>
      </c>
      <c r="AX48" s="1414">
        <f t="shared" si="158"/>
        <v>0</v>
      </c>
      <c r="AY48" s="1414">
        <f t="shared" si="159"/>
        <v>0</v>
      </c>
      <c r="AZ48" s="1414">
        <f t="shared" si="160"/>
        <v>0</v>
      </c>
      <c r="BA48" s="1414">
        <f t="shared" si="161"/>
        <v>0</v>
      </c>
      <c r="BB48" s="1549"/>
      <c r="BC48" s="1549">
        <f t="shared" ref="BC48:BM48" si="193">BB48</f>
        <v>0</v>
      </c>
      <c r="BD48" s="1549">
        <f t="shared" si="193"/>
        <v>0</v>
      </c>
      <c r="BE48" s="1549">
        <f t="shared" si="193"/>
        <v>0</v>
      </c>
      <c r="BF48" s="1549">
        <f t="shared" si="193"/>
        <v>0</v>
      </c>
      <c r="BG48" s="1549">
        <f t="shared" si="193"/>
        <v>0</v>
      </c>
      <c r="BH48" s="1549">
        <f t="shared" si="193"/>
        <v>0</v>
      </c>
      <c r="BI48" s="1549">
        <f t="shared" si="193"/>
        <v>0</v>
      </c>
      <c r="BJ48" s="1549">
        <f t="shared" si="193"/>
        <v>0</v>
      </c>
      <c r="BK48" s="1549">
        <f t="shared" si="193"/>
        <v>0</v>
      </c>
      <c r="BL48" s="1549">
        <f t="shared" si="193"/>
        <v>0</v>
      </c>
      <c r="BM48" s="1549">
        <f t="shared" si="193"/>
        <v>0</v>
      </c>
      <c r="BN48" s="1414">
        <f t="shared" si="163"/>
        <v>0</v>
      </c>
      <c r="BO48" s="1414">
        <f t="shared" si="164"/>
        <v>0</v>
      </c>
      <c r="BP48" s="1414">
        <f t="shared" si="165"/>
        <v>0</v>
      </c>
      <c r="BQ48" s="1414">
        <f t="shared" si="166"/>
        <v>0</v>
      </c>
      <c r="BR48" s="1414">
        <f t="shared" si="167"/>
        <v>0</v>
      </c>
    </row>
    <row r="49" spans="1:71" ht="16.5">
      <c r="A49" s="481"/>
      <c r="B49" s="166" t="s">
        <v>1594</v>
      </c>
      <c r="C49" s="158">
        <f t="shared" si="168"/>
        <v>0</v>
      </c>
      <c r="D49" s="158">
        <f t="shared" si="169"/>
        <v>0</v>
      </c>
      <c r="E49" s="158">
        <f t="shared" si="170"/>
        <v>0</v>
      </c>
      <c r="F49" s="158">
        <f t="shared" si="171"/>
        <v>0</v>
      </c>
      <c r="G49" s="158">
        <f t="shared" si="172"/>
        <v>0</v>
      </c>
      <c r="H49" s="158">
        <f t="shared" si="173"/>
        <v>3001.48</v>
      </c>
      <c r="I49" s="158">
        <f t="shared" si="174"/>
        <v>0</v>
      </c>
      <c r="J49" s="158">
        <f t="shared" si="175"/>
        <v>0</v>
      </c>
      <c r="K49" s="158">
        <f t="shared" si="176"/>
        <v>0</v>
      </c>
      <c r="L49" s="158">
        <f t="shared" si="177"/>
        <v>0</v>
      </c>
      <c r="M49" s="158">
        <f t="shared" si="178"/>
        <v>0</v>
      </c>
      <c r="N49" s="158">
        <f t="shared" si="179"/>
        <v>0</v>
      </c>
      <c r="O49" s="1548">
        <f t="shared" si="180"/>
        <v>0</v>
      </c>
      <c r="P49" s="1548">
        <f t="shared" si="181"/>
        <v>3001.48</v>
      </c>
      <c r="Q49" s="1548">
        <f t="shared" si="182"/>
        <v>0</v>
      </c>
      <c r="R49" s="1548">
        <f t="shared" si="183"/>
        <v>0</v>
      </c>
      <c r="S49" s="1548">
        <f t="shared" si="184"/>
        <v>3001.48</v>
      </c>
      <c r="T49" s="1549">
        <f ca="1">'2240'!C28</f>
        <v>0</v>
      </c>
      <c r="U49" s="1549">
        <f ca="1">'2240'!D28</f>
        <v>0</v>
      </c>
      <c r="V49" s="1549">
        <f ca="1">'2240'!E28</f>
        <v>0</v>
      </c>
      <c r="W49" s="1549">
        <f ca="1">'2240'!F28</f>
        <v>0</v>
      </c>
      <c r="X49" s="1549">
        <f ca="1">'2240'!G28</f>
        <v>0</v>
      </c>
      <c r="Y49" s="1549">
        <f ca="1">'2240'!H28</f>
        <v>3001.48</v>
      </c>
      <c r="Z49" s="1549">
        <f ca="1">'2240'!I28</f>
        <v>0</v>
      </c>
      <c r="AA49" s="1549">
        <f ca="1">'2240'!J28</f>
        <v>0</v>
      </c>
      <c r="AB49" s="1549">
        <f ca="1">'2240'!K28</f>
        <v>0</v>
      </c>
      <c r="AC49" s="1549">
        <f ca="1">'2240'!L28</f>
        <v>0</v>
      </c>
      <c r="AD49" s="1549">
        <f ca="1">'2240'!M28</f>
        <v>0</v>
      </c>
      <c r="AE49" s="1549">
        <f ca="1">'2240'!N28</f>
        <v>0</v>
      </c>
      <c r="AF49" s="1414">
        <f t="shared" si="152"/>
        <v>0</v>
      </c>
      <c r="AG49" s="1414">
        <f t="shared" si="153"/>
        <v>3001.48</v>
      </c>
      <c r="AH49" s="1414">
        <f t="shared" si="154"/>
        <v>0</v>
      </c>
      <c r="AI49" s="1414">
        <f t="shared" si="155"/>
        <v>0</v>
      </c>
      <c r="AJ49" s="1414">
        <f t="shared" si="156"/>
        <v>3001.48</v>
      </c>
      <c r="AK49" s="1550"/>
      <c r="AL49" s="1550"/>
      <c r="AM49" s="1550"/>
      <c r="AN49" s="1550"/>
      <c r="AO49" s="1550"/>
      <c r="AP49" s="1550"/>
      <c r="AQ49" s="1550"/>
      <c r="AR49" s="1550"/>
      <c r="AS49" s="1550"/>
      <c r="AT49" s="1550"/>
      <c r="AU49" s="1550"/>
      <c r="AV49" s="1550"/>
      <c r="AW49" s="1414">
        <f t="shared" si="157"/>
        <v>0</v>
      </c>
      <c r="AX49" s="1414">
        <f t="shared" si="158"/>
        <v>0</v>
      </c>
      <c r="AY49" s="1414">
        <f t="shared" si="159"/>
        <v>0</v>
      </c>
      <c r="AZ49" s="1414">
        <f t="shared" si="160"/>
        <v>0</v>
      </c>
      <c r="BA49" s="1414">
        <f t="shared" si="161"/>
        <v>0</v>
      </c>
      <c r="BB49" s="1549"/>
      <c r="BC49" s="1549">
        <f t="shared" ref="BC49:BM49" si="194">BB49</f>
        <v>0</v>
      </c>
      <c r="BD49" s="1549">
        <f t="shared" si="194"/>
        <v>0</v>
      </c>
      <c r="BE49" s="1549">
        <f t="shared" si="194"/>
        <v>0</v>
      </c>
      <c r="BF49" s="1549">
        <f t="shared" si="194"/>
        <v>0</v>
      </c>
      <c r="BG49" s="1549">
        <f t="shared" si="194"/>
        <v>0</v>
      </c>
      <c r="BH49" s="1549">
        <f t="shared" si="194"/>
        <v>0</v>
      </c>
      <c r="BI49" s="1549">
        <f t="shared" si="194"/>
        <v>0</v>
      </c>
      <c r="BJ49" s="1549">
        <f t="shared" si="194"/>
        <v>0</v>
      </c>
      <c r="BK49" s="1549">
        <f t="shared" si="194"/>
        <v>0</v>
      </c>
      <c r="BL49" s="1549">
        <f t="shared" si="194"/>
        <v>0</v>
      </c>
      <c r="BM49" s="1549">
        <f t="shared" si="194"/>
        <v>0</v>
      </c>
      <c r="BN49" s="1414">
        <f t="shared" si="163"/>
        <v>0</v>
      </c>
      <c r="BO49" s="1414">
        <f t="shared" si="164"/>
        <v>0</v>
      </c>
      <c r="BP49" s="1414">
        <f t="shared" si="165"/>
        <v>0</v>
      </c>
      <c r="BQ49" s="1414">
        <f t="shared" si="166"/>
        <v>0</v>
      </c>
      <c r="BR49" s="1414">
        <f t="shared" si="167"/>
        <v>0</v>
      </c>
    </row>
    <row r="50" spans="1:71" ht="16.5">
      <c r="A50" s="481"/>
      <c r="B50" s="165" t="s">
        <v>1750</v>
      </c>
      <c r="C50" s="158">
        <f t="shared" si="168"/>
        <v>5000</v>
      </c>
      <c r="D50" s="158">
        <f t="shared" si="169"/>
        <v>38412.559999999998</v>
      </c>
      <c r="E50" s="158">
        <f t="shared" si="170"/>
        <v>57715.4</v>
      </c>
      <c r="F50" s="158">
        <f t="shared" si="171"/>
        <v>23772</v>
      </c>
      <c r="G50" s="158">
        <f t="shared" si="172"/>
        <v>28209.79</v>
      </c>
      <c r="H50" s="158">
        <f t="shared" si="173"/>
        <v>52505.88</v>
      </c>
      <c r="I50" s="158">
        <f t="shared" si="174"/>
        <v>45886.53</v>
      </c>
      <c r="J50" s="158">
        <f t="shared" si="175"/>
        <v>10617.380000000001</v>
      </c>
      <c r="K50" s="158">
        <f t="shared" si="176"/>
        <v>52698.32</v>
      </c>
      <c r="L50" s="158">
        <f t="shared" si="177"/>
        <v>26782.45</v>
      </c>
      <c r="M50" s="158">
        <f t="shared" si="178"/>
        <v>23489.59</v>
      </c>
      <c r="N50" s="158">
        <f t="shared" si="179"/>
        <v>23490.59</v>
      </c>
      <c r="O50" s="1548">
        <f t="shared" si="180"/>
        <v>101127.95999999999</v>
      </c>
      <c r="P50" s="1548">
        <f t="shared" si="181"/>
        <v>104487.67</v>
      </c>
      <c r="Q50" s="1548">
        <f t="shared" si="182"/>
        <v>109202.23000000001</v>
      </c>
      <c r="R50" s="1548">
        <f t="shared" si="183"/>
        <v>73762.63</v>
      </c>
      <c r="S50" s="1548">
        <f t="shared" si="184"/>
        <v>388580.49</v>
      </c>
      <c r="T50" s="1549">
        <f ca="1">'2240'!C29</f>
        <v>5000</v>
      </c>
      <c r="U50" s="1549">
        <f ca="1">'2240'!D29</f>
        <v>38412.559999999998</v>
      </c>
      <c r="V50" s="1549">
        <f ca="1">'2240'!E29</f>
        <v>57715.4</v>
      </c>
      <c r="W50" s="1549">
        <f ca="1">'2240'!F29</f>
        <v>8172</v>
      </c>
      <c r="X50" s="1549">
        <f ca="1">'2240'!G29</f>
        <v>26609.79</v>
      </c>
      <c r="Y50" s="1549">
        <f ca="1">'2240'!H29</f>
        <v>52505.88</v>
      </c>
      <c r="Z50" s="1549">
        <f ca="1">'2240'!I29</f>
        <v>45886.53</v>
      </c>
      <c r="AA50" s="1549">
        <f ca="1">'2240'!J29</f>
        <v>10617.380000000001</v>
      </c>
      <c r="AB50" s="1549">
        <f ca="1">'2240'!K29</f>
        <v>45688.32</v>
      </c>
      <c r="AC50" s="1549">
        <f ca="1">'2240'!L29</f>
        <v>26782.45</v>
      </c>
      <c r="AD50" s="1549">
        <f ca="1">'2240'!M29</f>
        <v>23489.59</v>
      </c>
      <c r="AE50" s="1549">
        <f ca="1">'2240'!N29</f>
        <v>23490.59</v>
      </c>
      <c r="AF50" s="1414">
        <f t="shared" si="152"/>
        <v>101127.95999999999</v>
      </c>
      <c r="AG50" s="1414">
        <f t="shared" si="153"/>
        <v>87287.67</v>
      </c>
      <c r="AH50" s="1414">
        <f t="shared" si="154"/>
        <v>102192.23000000001</v>
      </c>
      <c r="AI50" s="1414">
        <f t="shared" si="155"/>
        <v>73762.63</v>
      </c>
      <c r="AJ50" s="1414">
        <f t="shared" si="156"/>
        <v>364370.49</v>
      </c>
      <c r="AK50" s="1550"/>
      <c r="AL50" s="1550"/>
      <c r="AM50" s="1550"/>
      <c r="AN50" s="1550">
        <f>1600+14000</f>
        <v>15600</v>
      </c>
      <c r="AO50" s="1550">
        <f>1600</f>
        <v>1600</v>
      </c>
      <c r="AP50" s="1550"/>
      <c r="AQ50" s="1550"/>
      <c r="AR50" s="1550"/>
      <c r="AS50" s="1550">
        <f>1020+3990+2000</f>
        <v>7010</v>
      </c>
      <c r="AT50" s="1550"/>
      <c r="AU50" s="1550"/>
      <c r="AV50" s="1550"/>
      <c r="AW50" s="1414">
        <f t="shared" si="157"/>
        <v>0</v>
      </c>
      <c r="AX50" s="1414">
        <f t="shared" si="158"/>
        <v>17200</v>
      </c>
      <c r="AY50" s="1414">
        <f t="shared" si="159"/>
        <v>7010</v>
      </c>
      <c r="AZ50" s="1414">
        <f t="shared" si="160"/>
        <v>0</v>
      </c>
      <c r="BA50" s="1414">
        <f t="shared" si="161"/>
        <v>24210</v>
      </c>
      <c r="BB50" s="1549"/>
      <c r="BC50" s="1549">
        <f t="shared" ref="BC50:BM50" si="195">BB50</f>
        <v>0</v>
      </c>
      <c r="BD50" s="1549">
        <f t="shared" si="195"/>
        <v>0</v>
      </c>
      <c r="BE50" s="1549">
        <f t="shared" si="195"/>
        <v>0</v>
      </c>
      <c r="BF50" s="1549">
        <f t="shared" si="195"/>
        <v>0</v>
      </c>
      <c r="BG50" s="1549">
        <f t="shared" si="195"/>
        <v>0</v>
      </c>
      <c r="BH50" s="1549">
        <f t="shared" si="195"/>
        <v>0</v>
      </c>
      <c r="BI50" s="1549">
        <f t="shared" si="195"/>
        <v>0</v>
      </c>
      <c r="BJ50" s="1549">
        <f t="shared" si="195"/>
        <v>0</v>
      </c>
      <c r="BK50" s="1549">
        <f t="shared" si="195"/>
        <v>0</v>
      </c>
      <c r="BL50" s="1549">
        <f t="shared" si="195"/>
        <v>0</v>
      </c>
      <c r="BM50" s="1549">
        <f t="shared" si="195"/>
        <v>0</v>
      </c>
      <c r="BN50" s="1414">
        <f t="shared" si="163"/>
        <v>0</v>
      </c>
      <c r="BO50" s="1414">
        <f t="shared" si="164"/>
        <v>0</v>
      </c>
      <c r="BP50" s="1414">
        <f t="shared" si="165"/>
        <v>0</v>
      </c>
      <c r="BQ50" s="1414">
        <f t="shared" si="166"/>
        <v>0</v>
      </c>
      <c r="BR50" s="1414">
        <f t="shared" si="167"/>
        <v>0</v>
      </c>
    </row>
    <row r="51" spans="1:71" ht="16.5">
      <c r="A51" s="481"/>
      <c r="B51" s="167" t="s">
        <v>1595</v>
      </c>
      <c r="C51" s="158">
        <f t="shared" si="168"/>
        <v>24000</v>
      </c>
      <c r="D51" s="158">
        <f t="shared" si="169"/>
        <v>15000</v>
      </c>
      <c r="E51" s="158">
        <f t="shared" si="170"/>
        <v>27000</v>
      </c>
      <c r="F51" s="158">
        <f t="shared" si="171"/>
        <v>15800</v>
      </c>
      <c r="G51" s="158">
        <f t="shared" si="172"/>
        <v>22000</v>
      </c>
      <c r="H51" s="158">
        <f t="shared" si="173"/>
        <v>11200</v>
      </c>
      <c r="I51" s="158">
        <f t="shared" si="174"/>
        <v>13000</v>
      </c>
      <c r="J51" s="158">
        <f t="shared" si="175"/>
        <v>8500</v>
      </c>
      <c r="K51" s="158">
        <f t="shared" si="176"/>
        <v>9000</v>
      </c>
      <c r="L51" s="158">
        <f t="shared" si="177"/>
        <v>9000</v>
      </c>
      <c r="M51" s="158">
        <f t="shared" si="178"/>
        <v>16000</v>
      </c>
      <c r="N51" s="158">
        <f t="shared" si="179"/>
        <v>34996.910000000003</v>
      </c>
      <c r="O51" s="1548">
        <f t="shared" si="180"/>
        <v>66000</v>
      </c>
      <c r="P51" s="1548">
        <f t="shared" si="181"/>
        <v>49000</v>
      </c>
      <c r="Q51" s="1548">
        <f t="shared" si="182"/>
        <v>30500</v>
      </c>
      <c r="R51" s="1548">
        <f t="shared" si="183"/>
        <v>59996.91</v>
      </c>
      <c r="S51" s="1548">
        <f t="shared" si="184"/>
        <v>205496.91</v>
      </c>
      <c r="T51" s="1549">
        <f ca="1">'2240'!C30</f>
        <v>0</v>
      </c>
      <c r="U51" s="1549">
        <f ca="1">'2240'!D30</f>
        <v>0</v>
      </c>
      <c r="V51" s="1549">
        <f ca="1">'2240'!E30</f>
        <v>0</v>
      </c>
      <c r="W51" s="1549">
        <f ca="1">'2240'!F30</f>
        <v>0</v>
      </c>
      <c r="X51" s="1549">
        <f ca="1">'2240'!G30</f>
        <v>0</v>
      </c>
      <c r="Y51" s="1549">
        <f ca="1">'2240'!H30</f>
        <v>0</v>
      </c>
      <c r="Z51" s="1549">
        <f ca="1">'2240'!I30</f>
        <v>0</v>
      </c>
      <c r="AA51" s="1549">
        <f ca="1">'2240'!J30</f>
        <v>0</v>
      </c>
      <c r="AB51" s="1549">
        <f ca="1">'2240'!K30</f>
        <v>0</v>
      </c>
      <c r="AC51" s="1549">
        <f ca="1">'2240'!L30</f>
        <v>0</v>
      </c>
      <c r="AD51" s="1549">
        <f ca="1">'2240'!M30</f>
        <v>0</v>
      </c>
      <c r="AE51" s="1549">
        <f ca="1">'2240'!N30</f>
        <v>0</v>
      </c>
      <c r="AF51" s="1414">
        <f t="shared" si="152"/>
        <v>0</v>
      </c>
      <c r="AG51" s="1414">
        <f t="shared" si="153"/>
        <v>0</v>
      </c>
      <c r="AH51" s="1414">
        <f t="shared" si="154"/>
        <v>0</v>
      </c>
      <c r="AI51" s="1414">
        <f t="shared" si="155"/>
        <v>0</v>
      </c>
      <c r="AJ51" s="1414">
        <f t="shared" si="156"/>
        <v>0</v>
      </c>
      <c r="AK51" s="1550">
        <v>24000</v>
      </c>
      <c r="AL51" s="1550">
        <v>15000</v>
      </c>
      <c r="AM51" s="1550">
        <v>27000</v>
      </c>
      <c r="AN51" s="1550">
        <f>15800</f>
        <v>15800</v>
      </c>
      <c r="AO51" s="1550">
        <v>22000</v>
      </c>
      <c r="AP51" s="1550">
        <f>11200</f>
        <v>11200</v>
      </c>
      <c r="AQ51" s="1550">
        <v>13000</v>
      </c>
      <c r="AR51" s="1550">
        <v>8500</v>
      </c>
      <c r="AS51" s="1550">
        <f>9000</f>
        <v>9000</v>
      </c>
      <c r="AT51" s="1550">
        <f>9000</f>
        <v>9000</v>
      </c>
      <c r="AU51" s="1550">
        <v>16000</v>
      </c>
      <c r="AV51" s="1550">
        <f>15000+16000+3996.91</f>
        <v>34996.910000000003</v>
      </c>
      <c r="AW51" s="1414">
        <f t="shared" si="157"/>
        <v>66000</v>
      </c>
      <c r="AX51" s="1414">
        <f t="shared" si="158"/>
        <v>49000</v>
      </c>
      <c r="AY51" s="1414">
        <f t="shared" si="159"/>
        <v>30500</v>
      </c>
      <c r="AZ51" s="1414">
        <f t="shared" si="160"/>
        <v>59996.91</v>
      </c>
      <c r="BA51" s="1414">
        <f t="shared" si="161"/>
        <v>205496.91</v>
      </c>
      <c r="BB51" s="1549"/>
      <c r="BC51" s="1549">
        <f t="shared" ref="BC51:BM51" si="196">BB51</f>
        <v>0</v>
      </c>
      <c r="BD51" s="1549">
        <f t="shared" si="196"/>
        <v>0</v>
      </c>
      <c r="BE51" s="1549">
        <f t="shared" si="196"/>
        <v>0</v>
      </c>
      <c r="BF51" s="1549">
        <f t="shared" si="196"/>
        <v>0</v>
      </c>
      <c r="BG51" s="1549">
        <f t="shared" si="196"/>
        <v>0</v>
      </c>
      <c r="BH51" s="1549">
        <f t="shared" si="196"/>
        <v>0</v>
      </c>
      <c r="BI51" s="1549">
        <f t="shared" si="196"/>
        <v>0</v>
      </c>
      <c r="BJ51" s="1549">
        <f t="shared" si="196"/>
        <v>0</v>
      </c>
      <c r="BK51" s="1549">
        <f t="shared" si="196"/>
        <v>0</v>
      </c>
      <c r="BL51" s="1549">
        <f t="shared" si="196"/>
        <v>0</v>
      </c>
      <c r="BM51" s="1549">
        <f t="shared" si="196"/>
        <v>0</v>
      </c>
      <c r="BN51" s="1414">
        <f t="shared" si="163"/>
        <v>0</v>
      </c>
      <c r="BO51" s="1414">
        <f t="shared" si="164"/>
        <v>0</v>
      </c>
      <c r="BP51" s="1414">
        <f t="shared" si="165"/>
        <v>0</v>
      </c>
      <c r="BQ51" s="1414">
        <f t="shared" si="166"/>
        <v>0</v>
      </c>
      <c r="BR51" s="1414">
        <f t="shared" si="167"/>
        <v>0</v>
      </c>
    </row>
    <row r="52" spans="1:71" ht="16.5">
      <c r="A52" s="481"/>
      <c r="B52" s="167" t="s">
        <v>1596</v>
      </c>
      <c r="C52" s="158">
        <f t="shared" si="168"/>
        <v>100</v>
      </c>
      <c r="D52" s="158">
        <f t="shared" si="169"/>
        <v>100</v>
      </c>
      <c r="E52" s="158">
        <f t="shared" si="170"/>
        <v>150</v>
      </c>
      <c r="F52" s="158">
        <f t="shared" si="171"/>
        <v>100</v>
      </c>
      <c r="G52" s="158">
        <f t="shared" si="172"/>
        <v>130</v>
      </c>
      <c r="H52" s="158">
        <f t="shared" si="173"/>
        <v>140</v>
      </c>
      <c r="I52" s="158">
        <f t="shared" si="174"/>
        <v>120</v>
      </c>
      <c r="J52" s="158">
        <f t="shared" si="175"/>
        <v>110</v>
      </c>
      <c r="K52" s="158">
        <f t="shared" si="176"/>
        <v>130</v>
      </c>
      <c r="L52" s="158">
        <f t="shared" si="177"/>
        <v>120</v>
      </c>
      <c r="M52" s="158">
        <f t="shared" si="178"/>
        <v>110</v>
      </c>
      <c r="N52" s="158">
        <f t="shared" si="179"/>
        <v>200</v>
      </c>
      <c r="O52" s="1548">
        <f t="shared" si="180"/>
        <v>350</v>
      </c>
      <c r="P52" s="1548">
        <f t="shared" si="181"/>
        <v>370</v>
      </c>
      <c r="Q52" s="1548">
        <f t="shared" si="182"/>
        <v>360</v>
      </c>
      <c r="R52" s="1548">
        <f t="shared" si="183"/>
        <v>430</v>
      </c>
      <c r="S52" s="1548">
        <f t="shared" si="184"/>
        <v>1510</v>
      </c>
      <c r="T52" s="1549">
        <f ca="1">'2240'!C31</f>
        <v>0</v>
      </c>
      <c r="U52" s="1549">
        <f ca="1">'2240'!D31</f>
        <v>0</v>
      </c>
      <c r="V52" s="1549">
        <f ca="1">'2240'!E31</f>
        <v>0</v>
      </c>
      <c r="W52" s="1549">
        <f ca="1">'2240'!F31</f>
        <v>0</v>
      </c>
      <c r="X52" s="1549">
        <f ca="1">'2240'!G31</f>
        <v>0</v>
      </c>
      <c r="Y52" s="1549">
        <f ca="1">'2240'!H31</f>
        <v>0</v>
      </c>
      <c r="Z52" s="1549">
        <f ca="1">'2240'!I31</f>
        <v>0</v>
      </c>
      <c r="AA52" s="1549">
        <f ca="1">'2240'!J31</f>
        <v>0</v>
      </c>
      <c r="AB52" s="1549">
        <f ca="1">'2240'!K31</f>
        <v>0</v>
      </c>
      <c r="AC52" s="1549">
        <f ca="1">'2240'!L31</f>
        <v>0</v>
      </c>
      <c r="AD52" s="1549">
        <f ca="1">'2240'!M31</f>
        <v>0</v>
      </c>
      <c r="AE52" s="1549">
        <f ca="1">'2240'!N31</f>
        <v>0</v>
      </c>
      <c r="AF52" s="1414">
        <f t="shared" si="152"/>
        <v>0</v>
      </c>
      <c r="AG52" s="1414">
        <f t="shared" si="153"/>
        <v>0</v>
      </c>
      <c r="AH52" s="1414">
        <f t="shared" si="154"/>
        <v>0</v>
      </c>
      <c r="AI52" s="1414">
        <f t="shared" si="155"/>
        <v>0</v>
      </c>
      <c r="AJ52" s="1414">
        <f t="shared" si="156"/>
        <v>0</v>
      </c>
      <c r="AK52" s="1550">
        <v>100</v>
      </c>
      <c r="AL52" s="1550">
        <v>100</v>
      </c>
      <c r="AM52" s="1550">
        <v>150</v>
      </c>
      <c r="AN52" s="1550">
        <v>100</v>
      </c>
      <c r="AO52" s="1550">
        <v>130</v>
      </c>
      <c r="AP52" s="1550">
        <v>140</v>
      </c>
      <c r="AQ52" s="1550">
        <v>120</v>
      </c>
      <c r="AR52" s="1550">
        <v>110</v>
      </c>
      <c r="AS52" s="1550">
        <v>130</v>
      </c>
      <c r="AT52" s="1550">
        <v>120</v>
      </c>
      <c r="AU52" s="1550">
        <v>110</v>
      </c>
      <c r="AV52" s="1550">
        <v>200</v>
      </c>
      <c r="AW52" s="1414">
        <f t="shared" si="157"/>
        <v>350</v>
      </c>
      <c r="AX52" s="1414">
        <f t="shared" si="158"/>
        <v>370</v>
      </c>
      <c r="AY52" s="1414">
        <f t="shared" si="159"/>
        <v>360</v>
      </c>
      <c r="AZ52" s="1414">
        <f t="shared" si="160"/>
        <v>430</v>
      </c>
      <c r="BA52" s="1414">
        <f t="shared" si="161"/>
        <v>1510</v>
      </c>
      <c r="BB52" s="1549"/>
      <c r="BC52" s="1549">
        <f t="shared" ref="BC52:BM52" si="197">BB52</f>
        <v>0</v>
      </c>
      <c r="BD52" s="1549">
        <f t="shared" si="197"/>
        <v>0</v>
      </c>
      <c r="BE52" s="1549">
        <f t="shared" si="197"/>
        <v>0</v>
      </c>
      <c r="BF52" s="1549">
        <f t="shared" si="197"/>
        <v>0</v>
      </c>
      <c r="BG52" s="1549">
        <f t="shared" si="197"/>
        <v>0</v>
      </c>
      <c r="BH52" s="1549">
        <f t="shared" si="197"/>
        <v>0</v>
      </c>
      <c r="BI52" s="1549">
        <f t="shared" si="197"/>
        <v>0</v>
      </c>
      <c r="BJ52" s="1549">
        <f t="shared" si="197"/>
        <v>0</v>
      </c>
      <c r="BK52" s="1549">
        <f t="shared" si="197"/>
        <v>0</v>
      </c>
      <c r="BL52" s="1549">
        <f t="shared" si="197"/>
        <v>0</v>
      </c>
      <c r="BM52" s="1549">
        <f t="shared" si="197"/>
        <v>0</v>
      </c>
      <c r="BN52" s="1414">
        <f t="shared" si="163"/>
        <v>0</v>
      </c>
      <c r="BO52" s="1414">
        <f t="shared" si="164"/>
        <v>0</v>
      </c>
      <c r="BP52" s="1414">
        <f t="shared" si="165"/>
        <v>0</v>
      </c>
      <c r="BQ52" s="1414">
        <f t="shared" si="166"/>
        <v>0</v>
      </c>
      <c r="BR52" s="1414">
        <f t="shared" si="167"/>
        <v>0</v>
      </c>
    </row>
    <row r="53" spans="1:71" ht="16.5">
      <c r="A53" s="481"/>
      <c r="B53" s="168" t="s">
        <v>1597</v>
      </c>
      <c r="C53" s="158">
        <f t="shared" si="168"/>
        <v>0</v>
      </c>
      <c r="D53" s="158">
        <f t="shared" si="169"/>
        <v>0</v>
      </c>
      <c r="E53" s="158">
        <f t="shared" si="170"/>
        <v>0</v>
      </c>
      <c r="F53" s="158">
        <f t="shared" si="171"/>
        <v>0</v>
      </c>
      <c r="G53" s="158">
        <f t="shared" si="172"/>
        <v>0</v>
      </c>
      <c r="H53" s="158">
        <f t="shared" si="173"/>
        <v>0</v>
      </c>
      <c r="I53" s="158">
        <f t="shared" si="174"/>
        <v>0</v>
      </c>
      <c r="J53" s="158">
        <f t="shared" si="175"/>
        <v>0</v>
      </c>
      <c r="K53" s="158">
        <f t="shared" si="176"/>
        <v>0</v>
      </c>
      <c r="L53" s="158">
        <f t="shared" si="177"/>
        <v>0</v>
      </c>
      <c r="M53" s="158">
        <f t="shared" si="178"/>
        <v>0</v>
      </c>
      <c r="N53" s="158">
        <f t="shared" si="179"/>
        <v>0</v>
      </c>
      <c r="O53" s="1548">
        <f t="shared" si="180"/>
        <v>0</v>
      </c>
      <c r="P53" s="1548">
        <f t="shared" si="181"/>
        <v>0</v>
      </c>
      <c r="Q53" s="1548">
        <f t="shared" si="182"/>
        <v>0</v>
      </c>
      <c r="R53" s="1548">
        <f t="shared" si="183"/>
        <v>0</v>
      </c>
      <c r="S53" s="1548">
        <f t="shared" si="184"/>
        <v>0</v>
      </c>
      <c r="T53" s="1549">
        <f ca="1">'2240'!C32</f>
        <v>0</v>
      </c>
      <c r="U53" s="1549">
        <f ca="1">'2240'!D32</f>
        <v>0</v>
      </c>
      <c r="V53" s="1549">
        <f ca="1">'2240'!E32</f>
        <v>0</v>
      </c>
      <c r="W53" s="1549">
        <f ca="1">'2240'!F32</f>
        <v>0</v>
      </c>
      <c r="X53" s="1549">
        <f ca="1">'2240'!G32</f>
        <v>0</v>
      </c>
      <c r="Y53" s="1549">
        <f ca="1">'2240'!H32</f>
        <v>0</v>
      </c>
      <c r="Z53" s="1549">
        <f ca="1">'2240'!I32</f>
        <v>0</v>
      </c>
      <c r="AA53" s="1549">
        <f ca="1">'2240'!J32</f>
        <v>0</v>
      </c>
      <c r="AB53" s="1549">
        <f ca="1">'2240'!K32</f>
        <v>0</v>
      </c>
      <c r="AC53" s="1549">
        <f ca="1">'2240'!L32</f>
        <v>0</v>
      </c>
      <c r="AD53" s="1549">
        <f ca="1">'2240'!M32</f>
        <v>0</v>
      </c>
      <c r="AE53" s="1549">
        <f ca="1">'2240'!N32</f>
        <v>0</v>
      </c>
      <c r="AF53" s="1414">
        <f t="shared" si="152"/>
        <v>0</v>
      </c>
      <c r="AG53" s="1414">
        <f t="shared" si="153"/>
        <v>0</v>
      </c>
      <c r="AH53" s="1414">
        <f t="shared" si="154"/>
        <v>0</v>
      </c>
      <c r="AI53" s="1414">
        <f t="shared" si="155"/>
        <v>0</v>
      </c>
      <c r="AJ53" s="1414">
        <f t="shared" si="156"/>
        <v>0</v>
      </c>
      <c r="AK53" s="1550"/>
      <c r="AL53" s="1550"/>
      <c r="AM53" s="1550"/>
      <c r="AN53" s="1550"/>
      <c r="AO53" s="1550"/>
      <c r="AP53" s="1550"/>
      <c r="AQ53" s="1550"/>
      <c r="AR53" s="1550"/>
      <c r="AS53" s="1550"/>
      <c r="AT53" s="1550"/>
      <c r="AU53" s="1550"/>
      <c r="AV53" s="1550"/>
      <c r="AW53" s="1414">
        <f t="shared" si="157"/>
        <v>0</v>
      </c>
      <c r="AX53" s="1414">
        <f t="shared" si="158"/>
        <v>0</v>
      </c>
      <c r="AY53" s="1414">
        <f t="shared" si="159"/>
        <v>0</v>
      </c>
      <c r="AZ53" s="1414">
        <f t="shared" si="160"/>
        <v>0</v>
      </c>
      <c r="BA53" s="1414">
        <f t="shared" si="161"/>
        <v>0</v>
      </c>
      <c r="BB53" s="1549"/>
      <c r="BC53" s="1549">
        <f t="shared" ref="BC53:BM53" si="198">BB53</f>
        <v>0</v>
      </c>
      <c r="BD53" s="1549">
        <f t="shared" si="198"/>
        <v>0</v>
      </c>
      <c r="BE53" s="1549">
        <f t="shared" si="198"/>
        <v>0</v>
      </c>
      <c r="BF53" s="1549">
        <f t="shared" si="198"/>
        <v>0</v>
      </c>
      <c r="BG53" s="1549">
        <f t="shared" si="198"/>
        <v>0</v>
      </c>
      <c r="BH53" s="1549">
        <f t="shared" si="198"/>
        <v>0</v>
      </c>
      <c r="BI53" s="1549">
        <f t="shared" si="198"/>
        <v>0</v>
      </c>
      <c r="BJ53" s="1549">
        <f t="shared" si="198"/>
        <v>0</v>
      </c>
      <c r="BK53" s="1549">
        <f t="shared" si="198"/>
        <v>0</v>
      </c>
      <c r="BL53" s="1549">
        <f t="shared" si="198"/>
        <v>0</v>
      </c>
      <c r="BM53" s="1549">
        <f t="shared" si="198"/>
        <v>0</v>
      </c>
      <c r="BN53" s="1414">
        <f t="shared" si="163"/>
        <v>0</v>
      </c>
      <c r="BO53" s="1414">
        <f t="shared" si="164"/>
        <v>0</v>
      </c>
      <c r="BP53" s="1414">
        <f t="shared" si="165"/>
        <v>0</v>
      </c>
      <c r="BQ53" s="1414">
        <f t="shared" si="166"/>
        <v>0</v>
      </c>
      <c r="BR53" s="1414">
        <f t="shared" si="167"/>
        <v>0</v>
      </c>
    </row>
    <row r="54" spans="1:71" ht="16.5">
      <c r="A54" s="481"/>
      <c r="B54" s="165" t="s">
        <v>1976</v>
      </c>
      <c r="C54" s="158">
        <f t="shared" si="168"/>
        <v>14791.666666666666</v>
      </c>
      <c r="D54" s="158">
        <f t="shared" si="169"/>
        <v>14791.666666666666</v>
      </c>
      <c r="E54" s="158">
        <f t="shared" si="170"/>
        <v>14791.666666666666</v>
      </c>
      <c r="F54" s="158">
        <f t="shared" si="171"/>
        <v>14791.666666666666</v>
      </c>
      <c r="G54" s="158">
        <f t="shared" si="172"/>
        <v>14791.666666666666</v>
      </c>
      <c r="H54" s="158">
        <f t="shared" si="173"/>
        <v>14791.666666666666</v>
      </c>
      <c r="I54" s="158">
        <f t="shared" si="174"/>
        <v>14791.666666666666</v>
      </c>
      <c r="J54" s="158">
        <f t="shared" si="175"/>
        <v>14791.666666666666</v>
      </c>
      <c r="K54" s="158">
        <f t="shared" si="176"/>
        <v>14791.666666666666</v>
      </c>
      <c r="L54" s="158">
        <f t="shared" si="177"/>
        <v>14791.666666666666</v>
      </c>
      <c r="M54" s="158">
        <f t="shared" si="178"/>
        <v>14791.666666666666</v>
      </c>
      <c r="N54" s="158">
        <f t="shared" si="179"/>
        <v>14791.666666666666</v>
      </c>
      <c r="O54" s="1548">
        <f t="shared" si="180"/>
        <v>44375</v>
      </c>
      <c r="P54" s="1548">
        <f t="shared" si="181"/>
        <v>44375</v>
      </c>
      <c r="Q54" s="1548">
        <f t="shared" si="182"/>
        <v>44375</v>
      </c>
      <c r="R54" s="1548">
        <f t="shared" si="183"/>
        <v>44375</v>
      </c>
      <c r="S54" s="1548">
        <f t="shared" si="184"/>
        <v>177500</v>
      </c>
      <c r="T54" s="1549">
        <f ca="1">'2240'!C33</f>
        <v>14791.666666666666</v>
      </c>
      <c r="U54" s="1549">
        <f ca="1">'2240'!D33</f>
        <v>14791.666666666666</v>
      </c>
      <c r="V54" s="1549">
        <f ca="1">'2240'!E33</f>
        <v>14791.666666666666</v>
      </c>
      <c r="W54" s="1549">
        <f ca="1">'2240'!F33</f>
        <v>14791.666666666666</v>
      </c>
      <c r="X54" s="1549">
        <f ca="1">'2240'!G33</f>
        <v>14791.666666666666</v>
      </c>
      <c r="Y54" s="1549">
        <f ca="1">'2240'!H33</f>
        <v>14791.666666666666</v>
      </c>
      <c r="Z54" s="1549">
        <f ca="1">'2240'!I33</f>
        <v>14791.666666666666</v>
      </c>
      <c r="AA54" s="1549">
        <f ca="1">'2240'!J33</f>
        <v>14791.666666666666</v>
      </c>
      <c r="AB54" s="1549">
        <f ca="1">'2240'!K33</f>
        <v>14791.666666666666</v>
      </c>
      <c r="AC54" s="1549">
        <f ca="1">'2240'!L33</f>
        <v>14791.666666666666</v>
      </c>
      <c r="AD54" s="1549">
        <f ca="1">'2240'!M33</f>
        <v>14791.666666666666</v>
      </c>
      <c r="AE54" s="1549">
        <f ca="1">'2240'!N33</f>
        <v>14791.666666666666</v>
      </c>
      <c r="AF54" s="1414">
        <f t="shared" si="152"/>
        <v>44375</v>
      </c>
      <c r="AG54" s="1414">
        <f t="shared" si="153"/>
        <v>44375</v>
      </c>
      <c r="AH54" s="1414">
        <f t="shared" si="154"/>
        <v>44375</v>
      </c>
      <c r="AI54" s="1414">
        <f t="shared" si="155"/>
        <v>44375</v>
      </c>
      <c r="AJ54" s="1414">
        <f t="shared" si="156"/>
        <v>177500</v>
      </c>
      <c r="AK54" s="1550"/>
      <c r="AL54" s="1550"/>
      <c r="AM54" s="1550"/>
      <c r="AN54" s="1550"/>
      <c r="AO54" s="1550"/>
      <c r="AP54" s="1550"/>
      <c r="AQ54" s="1550"/>
      <c r="AR54" s="1550"/>
      <c r="AS54" s="1550"/>
      <c r="AT54" s="1550"/>
      <c r="AU54" s="1550"/>
      <c r="AV54" s="1550"/>
      <c r="AW54" s="1414">
        <f t="shared" si="157"/>
        <v>0</v>
      </c>
      <c r="AX54" s="1414">
        <f t="shared" si="158"/>
        <v>0</v>
      </c>
      <c r="AY54" s="1414">
        <f t="shared" si="159"/>
        <v>0</v>
      </c>
      <c r="AZ54" s="1414">
        <f t="shared" si="160"/>
        <v>0</v>
      </c>
      <c r="BA54" s="1414">
        <f t="shared" si="161"/>
        <v>0</v>
      </c>
      <c r="BB54" s="1549"/>
      <c r="BC54" s="1549">
        <f t="shared" ref="BC54:BM54" si="199">BB54</f>
        <v>0</v>
      </c>
      <c r="BD54" s="1549">
        <f t="shared" si="199"/>
        <v>0</v>
      </c>
      <c r="BE54" s="1549">
        <f t="shared" si="199"/>
        <v>0</v>
      </c>
      <c r="BF54" s="1549">
        <f t="shared" si="199"/>
        <v>0</v>
      </c>
      <c r="BG54" s="1549">
        <f t="shared" si="199"/>
        <v>0</v>
      </c>
      <c r="BH54" s="1549">
        <f t="shared" si="199"/>
        <v>0</v>
      </c>
      <c r="BI54" s="1549">
        <f t="shared" si="199"/>
        <v>0</v>
      </c>
      <c r="BJ54" s="1549">
        <f t="shared" si="199"/>
        <v>0</v>
      </c>
      <c r="BK54" s="1549">
        <f t="shared" si="199"/>
        <v>0</v>
      </c>
      <c r="BL54" s="1549">
        <f t="shared" si="199"/>
        <v>0</v>
      </c>
      <c r="BM54" s="1549">
        <f t="shared" si="199"/>
        <v>0</v>
      </c>
      <c r="BN54" s="1414">
        <f t="shared" si="163"/>
        <v>0</v>
      </c>
      <c r="BO54" s="1414">
        <f t="shared" si="164"/>
        <v>0</v>
      </c>
      <c r="BP54" s="1414">
        <f t="shared" si="165"/>
        <v>0</v>
      </c>
      <c r="BQ54" s="1414">
        <f t="shared" si="166"/>
        <v>0</v>
      </c>
      <c r="BR54" s="1414">
        <f t="shared" si="167"/>
        <v>0</v>
      </c>
    </row>
    <row r="55" spans="1:71">
      <c r="A55" s="480"/>
      <c r="B55" s="160" t="s">
        <v>1632</v>
      </c>
      <c r="C55" s="156">
        <f>SUM(C56:C58)</f>
        <v>230000</v>
      </c>
      <c r="D55" s="156">
        <f t="shared" ref="D55:S55" si="200">SUM(D56:D58)</f>
        <v>50000</v>
      </c>
      <c r="E55" s="156">
        <f t="shared" si="200"/>
        <v>257000</v>
      </c>
      <c r="F55" s="156">
        <f t="shared" si="200"/>
        <v>1010000</v>
      </c>
      <c r="G55" s="156">
        <f t="shared" si="200"/>
        <v>20000</v>
      </c>
      <c r="H55" s="156">
        <f t="shared" si="200"/>
        <v>50000</v>
      </c>
      <c r="I55" s="156">
        <f t="shared" si="200"/>
        <v>260000</v>
      </c>
      <c r="J55" s="156">
        <f t="shared" si="200"/>
        <v>565000</v>
      </c>
      <c r="K55" s="156">
        <f t="shared" si="200"/>
        <v>15000</v>
      </c>
      <c r="L55" s="156">
        <f t="shared" si="200"/>
        <v>10000</v>
      </c>
      <c r="M55" s="156">
        <f t="shared" si="200"/>
        <v>20000</v>
      </c>
      <c r="N55" s="156">
        <f t="shared" si="200"/>
        <v>10000</v>
      </c>
      <c r="O55" s="1547">
        <f t="shared" si="200"/>
        <v>537000</v>
      </c>
      <c r="P55" s="1547">
        <f t="shared" si="200"/>
        <v>1080000</v>
      </c>
      <c r="Q55" s="1547">
        <f t="shared" si="200"/>
        <v>840000</v>
      </c>
      <c r="R55" s="1547">
        <f t="shared" si="200"/>
        <v>40000</v>
      </c>
      <c r="S55" s="1547">
        <f t="shared" si="200"/>
        <v>2497000</v>
      </c>
      <c r="T55" s="1413">
        <f>SUM(T56:T58)</f>
        <v>230000</v>
      </c>
      <c r="U55" s="1413">
        <f t="shared" ref="U55:AJ55" si="201">SUM(U56:U58)</f>
        <v>50000</v>
      </c>
      <c r="V55" s="1413">
        <f t="shared" si="201"/>
        <v>257000</v>
      </c>
      <c r="W55" s="1413">
        <f t="shared" si="201"/>
        <v>1010000</v>
      </c>
      <c r="X55" s="1413">
        <f t="shared" si="201"/>
        <v>20000</v>
      </c>
      <c r="Y55" s="1413">
        <f t="shared" si="201"/>
        <v>50000</v>
      </c>
      <c r="Z55" s="1413">
        <f t="shared" si="201"/>
        <v>260000</v>
      </c>
      <c r="AA55" s="1413">
        <f t="shared" si="201"/>
        <v>565000</v>
      </c>
      <c r="AB55" s="1413">
        <f t="shared" si="201"/>
        <v>15000</v>
      </c>
      <c r="AC55" s="1413">
        <f t="shared" si="201"/>
        <v>10000</v>
      </c>
      <c r="AD55" s="1413">
        <f t="shared" si="201"/>
        <v>20000</v>
      </c>
      <c r="AE55" s="1413">
        <f t="shared" si="201"/>
        <v>10000</v>
      </c>
      <c r="AF55" s="1413">
        <f t="shared" si="201"/>
        <v>537000</v>
      </c>
      <c r="AG55" s="1413">
        <f t="shared" si="201"/>
        <v>1080000</v>
      </c>
      <c r="AH55" s="1413">
        <f t="shared" si="201"/>
        <v>840000</v>
      </c>
      <c r="AI55" s="1413">
        <f t="shared" si="201"/>
        <v>40000</v>
      </c>
      <c r="AJ55" s="1413">
        <f t="shared" si="201"/>
        <v>2497000</v>
      </c>
      <c r="AK55" s="1413">
        <f>SUM(AK56:AK58)</f>
        <v>0</v>
      </c>
      <c r="AL55" s="1413">
        <f t="shared" ref="AL55:BA55" si="202">SUM(AL56:AL58)</f>
        <v>0</v>
      </c>
      <c r="AM55" s="1413">
        <f t="shared" si="202"/>
        <v>0</v>
      </c>
      <c r="AN55" s="1413">
        <f t="shared" si="202"/>
        <v>0</v>
      </c>
      <c r="AO55" s="1413">
        <f t="shared" si="202"/>
        <v>0</v>
      </c>
      <c r="AP55" s="1413">
        <f t="shared" si="202"/>
        <v>0</v>
      </c>
      <c r="AQ55" s="1413">
        <f t="shared" si="202"/>
        <v>0</v>
      </c>
      <c r="AR55" s="1413">
        <f t="shared" si="202"/>
        <v>0</v>
      </c>
      <c r="AS55" s="1413">
        <f t="shared" si="202"/>
        <v>0</v>
      </c>
      <c r="AT55" s="1413">
        <f t="shared" si="202"/>
        <v>0</v>
      </c>
      <c r="AU55" s="1413">
        <f t="shared" si="202"/>
        <v>0</v>
      </c>
      <c r="AV55" s="1413">
        <f t="shared" si="202"/>
        <v>0</v>
      </c>
      <c r="AW55" s="1413">
        <f t="shared" si="202"/>
        <v>0</v>
      </c>
      <c r="AX55" s="1413">
        <f t="shared" si="202"/>
        <v>0</v>
      </c>
      <c r="AY55" s="1413">
        <f t="shared" si="202"/>
        <v>0</v>
      </c>
      <c r="AZ55" s="1413">
        <f t="shared" si="202"/>
        <v>0</v>
      </c>
      <c r="BA55" s="1413">
        <f t="shared" si="202"/>
        <v>0</v>
      </c>
      <c r="BB55" s="1413">
        <f>SUM(BB56:BB58)</f>
        <v>0</v>
      </c>
      <c r="BC55" s="1413">
        <f t="shared" ref="BC55:BM55" si="203">SUM(BC56:BC58)</f>
        <v>0</v>
      </c>
      <c r="BD55" s="1413">
        <f t="shared" si="203"/>
        <v>0</v>
      </c>
      <c r="BE55" s="1413">
        <f t="shared" si="203"/>
        <v>0</v>
      </c>
      <c r="BF55" s="1413">
        <f t="shared" si="203"/>
        <v>0</v>
      </c>
      <c r="BG55" s="1413">
        <f t="shared" si="203"/>
        <v>0</v>
      </c>
      <c r="BH55" s="1413">
        <f t="shared" si="203"/>
        <v>0</v>
      </c>
      <c r="BI55" s="1413">
        <f t="shared" si="203"/>
        <v>0</v>
      </c>
      <c r="BJ55" s="1413">
        <f t="shared" si="203"/>
        <v>0</v>
      </c>
      <c r="BK55" s="1413">
        <f t="shared" si="203"/>
        <v>0</v>
      </c>
      <c r="BL55" s="1413">
        <f t="shared" si="203"/>
        <v>0</v>
      </c>
      <c r="BM55" s="1413">
        <f t="shared" si="203"/>
        <v>0</v>
      </c>
      <c r="BN55" s="1413">
        <f>SUM(BN56:BN58)</f>
        <v>0</v>
      </c>
      <c r="BO55" s="1413">
        <f>SUM(BO56:BO58)</f>
        <v>0</v>
      </c>
      <c r="BP55" s="1413">
        <f>SUM(BP56:BP58)</f>
        <v>0</v>
      </c>
      <c r="BQ55" s="1413">
        <f>SUM(BQ56:BQ58)</f>
        <v>0</v>
      </c>
      <c r="BR55" s="1413">
        <f>SUM(BR56:BR58)</f>
        <v>0</v>
      </c>
      <c r="BS55" s="397">
        <f ca="1">'Програма МБ 2023 рік'!D13</f>
        <v>5188197</v>
      </c>
    </row>
    <row r="56" spans="1:71">
      <c r="A56" s="481"/>
      <c r="B56" s="169" t="s">
        <v>1752</v>
      </c>
      <c r="C56" s="158">
        <f t="shared" ref="C56:N59" si="204">T56+AK56+BB56</f>
        <v>200000</v>
      </c>
      <c r="D56" s="158">
        <f t="shared" si="204"/>
        <v>45000</v>
      </c>
      <c r="E56" s="158">
        <f t="shared" si="204"/>
        <v>252000</v>
      </c>
      <c r="F56" s="158">
        <f t="shared" si="204"/>
        <v>1000000</v>
      </c>
      <c r="G56" s="158">
        <f t="shared" si="204"/>
        <v>0</v>
      </c>
      <c r="H56" s="158">
        <f t="shared" si="204"/>
        <v>0</v>
      </c>
      <c r="I56" s="158">
        <f t="shared" si="204"/>
        <v>250000</v>
      </c>
      <c r="J56" s="158">
        <f t="shared" si="204"/>
        <v>550000</v>
      </c>
      <c r="K56" s="158">
        <f t="shared" si="204"/>
        <v>0</v>
      </c>
      <c r="L56" s="158">
        <f t="shared" si="204"/>
        <v>0</v>
      </c>
      <c r="M56" s="158">
        <f t="shared" si="204"/>
        <v>0</v>
      </c>
      <c r="N56" s="158">
        <f t="shared" si="204"/>
        <v>0</v>
      </c>
      <c r="O56" s="1548">
        <f>SUM(C56:E56)</f>
        <v>497000</v>
      </c>
      <c r="P56" s="1548">
        <f>SUM(F56:H56)</f>
        <v>1000000</v>
      </c>
      <c r="Q56" s="1548">
        <f>SUM(I56:K56)</f>
        <v>800000</v>
      </c>
      <c r="R56" s="1548">
        <f>SUM(L56:N56)</f>
        <v>0</v>
      </c>
      <c r="S56" s="1548">
        <f>O56+P56+Q56+R56</f>
        <v>2297000</v>
      </c>
      <c r="T56" s="1549">
        <f ca="1">'ОЗ-ІНМА'!D4</f>
        <v>200000</v>
      </c>
      <c r="U56" s="1549">
        <f ca="1">'ОЗ-ІНМА'!E4</f>
        <v>45000</v>
      </c>
      <c r="V56" s="1549">
        <f ca="1">'ОЗ-ІНМА'!F4</f>
        <v>252000</v>
      </c>
      <c r="W56" s="1549">
        <f ca="1">'ОЗ-ІНМА'!G4</f>
        <v>1000000</v>
      </c>
      <c r="X56" s="1549">
        <f ca="1">'ОЗ-ІНМА'!H4</f>
        <v>0</v>
      </c>
      <c r="Y56" s="1549">
        <f ca="1">'ОЗ-ІНМА'!I4</f>
        <v>0</v>
      </c>
      <c r="Z56" s="1549">
        <f ca="1">'ОЗ-ІНМА'!J4</f>
        <v>250000</v>
      </c>
      <c r="AA56" s="1549">
        <f ca="1">'ОЗ-ІНМА'!K4</f>
        <v>550000</v>
      </c>
      <c r="AB56" s="1549">
        <f ca="1">'ОЗ-ІНМА'!L4</f>
        <v>0</v>
      </c>
      <c r="AC56" s="1549">
        <f ca="1">'ОЗ-ІНМА'!M4</f>
        <v>0</v>
      </c>
      <c r="AD56" s="1549">
        <f ca="1">'ОЗ-ІНМА'!N4</f>
        <v>0</v>
      </c>
      <c r="AE56" s="1549">
        <f ca="1">'ОЗ-ІНМА'!O4</f>
        <v>0</v>
      </c>
      <c r="AF56" s="1414">
        <f>SUM(T56:V56)</f>
        <v>497000</v>
      </c>
      <c r="AG56" s="1414">
        <f>SUM(W56:Y56)</f>
        <v>1000000</v>
      </c>
      <c r="AH56" s="1414">
        <f>SUM(Z56:AB56)</f>
        <v>800000</v>
      </c>
      <c r="AI56" s="1414">
        <f>SUM(AC56:AE56)</f>
        <v>0</v>
      </c>
      <c r="AJ56" s="1414">
        <f>AF56+AG56+AH56+AI56</f>
        <v>2297000</v>
      </c>
      <c r="AK56" s="1549"/>
      <c r="AL56" s="1549">
        <f t="shared" ref="AL56:AV56" si="205">AK56</f>
        <v>0</v>
      </c>
      <c r="AM56" s="1549">
        <f t="shared" si="205"/>
        <v>0</v>
      </c>
      <c r="AN56" s="1549">
        <f t="shared" si="205"/>
        <v>0</v>
      </c>
      <c r="AO56" s="1549">
        <f t="shared" si="205"/>
        <v>0</v>
      </c>
      <c r="AP56" s="1549">
        <f t="shared" si="205"/>
        <v>0</v>
      </c>
      <c r="AQ56" s="1549">
        <f t="shared" si="205"/>
        <v>0</v>
      </c>
      <c r="AR56" s="1549">
        <f t="shared" si="205"/>
        <v>0</v>
      </c>
      <c r="AS56" s="1549">
        <f t="shared" si="205"/>
        <v>0</v>
      </c>
      <c r="AT56" s="1549">
        <f t="shared" si="205"/>
        <v>0</v>
      </c>
      <c r="AU56" s="1549">
        <f t="shared" si="205"/>
        <v>0</v>
      </c>
      <c r="AV56" s="1549">
        <f t="shared" si="205"/>
        <v>0</v>
      </c>
      <c r="AW56" s="1414">
        <f>SUM(AK56:AM56)</f>
        <v>0</v>
      </c>
      <c r="AX56" s="1414">
        <f>SUM(AN56:AP56)</f>
        <v>0</v>
      </c>
      <c r="AY56" s="1414">
        <f>SUM(AQ56:AS56)</f>
        <v>0</v>
      </c>
      <c r="AZ56" s="1414">
        <f>SUM(AT56:AV56)</f>
        <v>0</v>
      </c>
      <c r="BA56" s="1414">
        <f>AW56+AX56+AY56+AZ56</f>
        <v>0</v>
      </c>
      <c r="BB56" s="1549">
        <f>750000+200000-950000</f>
        <v>0</v>
      </c>
      <c r="BC56" s="1549">
        <f t="shared" ref="BC56:BM56" si="206">BB56</f>
        <v>0</v>
      </c>
      <c r="BD56" s="1549">
        <f t="shared" si="206"/>
        <v>0</v>
      </c>
      <c r="BE56" s="1549">
        <f t="shared" si="206"/>
        <v>0</v>
      </c>
      <c r="BF56" s="1549">
        <f t="shared" si="206"/>
        <v>0</v>
      </c>
      <c r="BG56" s="1549">
        <f t="shared" si="206"/>
        <v>0</v>
      </c>
      <c r="BH56" s="1549">
        <f t="shared" si="206"/>
        <v>0</v>
      </c>
      <c r="BI56" s="1549">
        <f t="shared" si="206"/>
        <v>0</v>
      </c>
      <c r="BJ56" s="1549">
        <f t="shared" si="206"/>
        <v>0</v>
      </c>
      <c r="BK56" s="1549">
        <f t="shared" si="206"/>
        <v>0</v>
      </c>
      <c r="BL56" s="1549">
        <f t="shared" si="206"/>
        <v>0</v>
      </c>
      <c r="BM56" s="1549">
        <f t="shared" si="206"/>
        <v>0</v>
      </c>
      <c r="BN56" s="1414">
        <f>SUM(BB56:BD56)</f>
        <v>0</v>
      </c>
      <c r="BO56" s="1414">
        <f>SUM(BE56:BG56)</f>
        <v>0</v>
      </c>
      <c r="BP56" s="1414">
        <f>SUM(BH56:BJ56)</f>
        <v>0</v>
      </c>
      <c r="BQ56" s="1414">
        <f>SUM(BK56:BM56)</f>
        <v>0</v>
      </c>
      <c r="BR56" s="1414">
        <f>BN56+BO56+BP56+BQ56</f>
        <v>0</v>
      </c>
    </row>
    <row r="57" spans="1:71">
      <c r="A57" s="481"/>
      <c r="B57" s="169" t="s">
        <v>1598</v>
      </c>
      <c r="C57" s="158">
        <f t="shared" si="204"/>
        <v>30000</v>
      </c>
      <c r="D57" s="158">
        <f t="shared" si="204"/>
        <v>5000</v>
      </c>
      <c r="E57" s="158">
        <f t="shared" si="204"/>
        <v>5000</v>
      </c>
      <c r="F57" s="158">
        <f t="shared" si="204"/>
        <v>10000</v>
      </c>
      <c r="G57" s="158">
        <f t="shared" si="204"/>
        <v>20000</v>
      </c>
      <c r="H57" s="158">
        <f t="shared" si="204"/>
        <v>50000</v>
      </c>
      <c r="I57" s="158">
        <f t="shared" si="204"/>
        <v>10000</v>
      </c>
      <c r="J57" s="158">
        <f t="shared" si="204"/>
        <v>15000</v>
      </c>
      <c r="K57" s="158">
        <f t="shared" si="204"/>
        <v>15000</v>
      </c>
      <c r="L57" s="158">
        <f t="shared" si="204"/>
        <v>10000</v>
      </c>
      <c r="M57" s="158">
        <f t="shared" si="204"/>
        <v>20000</v>
      </c>
      <c r="N57" s="158">
        <f t="shared" si="204"/>
        <v>10000</v>
      </c>
      <c r="O57" s="1548">
        <f>SUM(C57:E57)</f>
        <v>40000</v>
      </c>
      <c r="P57" s="1548">
        <f>SUM(F57:H57)</f>
        <v>80000</v>
      </c>
      <c r="Q57" s="1548">
        <f>SUM(I57:K57)</f>
        <v>40000</v>
      </c>
      <c r="R57" s="1548">
        <f>SUM(L57:N57)</f>
        <v>40000</v>
      </c>
      <c r="S57" s="1548">
        <f>O57+P57+Q57+R57</f>
        <v>200000</v>
      </c>
      <c r="T57" s="1549">
        <f ca="1">'ОЗ-ІНМА'!D14</f>
        <v>30000</v>
      </c>
      <c r="U57" s="1549">
        <f ca="1">'ОЗ-ІНМА'!E14</f>
        <v>5000</v>
      </c>
      <c r="V57" s="1549">
        <f ca="1">'ОЗ-ІНМА'!F14</f>
        <v>5000</v>
      </c>
      <c r="W57" s="1549">
        <f ca="1">'ОЗ-ІНМА'!G14</f>
        <v>10000</v>
      </c>
      <c r="X57" s="1549">
        <f ca="1">'ОЗ-ІНМА'!H14</f>
        <v>20000</v>
      </c>
      <c r="Y57" s="1549">
        <f ca="1">'ОЗ-ІНМА'!I14</f>
        <v>50000</v>
      </c>
      <c r="Z57" s="1549">
        <f ca="1">'ОЗ-ІНМА'!J14</f>
        <v>10000</v>
      </c>
      <c r="AA57" s="1549">
        <f ca="1">'ОЗ-ІНМА'!K14</f>
        <v>15000</v>
      </c>
      <c r="AB57" s="1549">
        <f ca="1">'ОЗ-ІНМА'!L14</f>
        <v>15000</v>
      </c>
      <c r="AC57" s="1549">
        <f ca="1">'ОЗ-ІНМА'!M14</f>
        <v>10000</v>
      </c>
      <c r="AD57" s="1549">
        <f ca="1">'ОЗ-ІНМА'!N14</f>
        <v>20000</v>
      </c>
      <c r="AE57" s="1549">
        <f ca="1">'ОЗ-ІНМА'!O14</f>
        <v>10000</v>
      </c>
      <c r="AF57" s="1414">
        <f>SUM(T57:V57)</f>
        <v>40000</v>
      </c>
      <c r="AG57" s="1414">
        <f>SUM(W57:Y57)</f>
        <v>80000</v>
      </c>
      <c r="AH57" s="1414">
        <f>SUM(Z57:AB57)</f>
        <v>40000</v>
      </c>
      <c r="AI57" s="1414">
        <f>SUM(AC57:AE57)</f>
        <v>40000</v>
      </c>
      <c r="AJ57" s="1414">
        <f>AF57+AG57+AH57+AI57</f>
        <v>200000</v>
      </c>
      <c r="AK57" s="1549"/>
      <c r="AL57" s="1549">
        <f t="shared" ref="AL57:AV57" si="207">AK57</f>
        <v>0</v>
      </c>
      <c r="AM57" s="1549">
        <f t="shared" si="207"/>
        <v>0</v>
      </c>
      <c r="AN57" s="1549">
        <f t="shared" si="207"/>
        <v>0</v>
      </c>
      <c r="AO57" s="1549">
        <f t="shared" si="207"/>
        <v>0</v>
      </c>
      <c r="AP57" s="1549">
        <f t="shared" si="207"/>
        <v>0</v>
      </c>
      <c r="AQ57" s="1549">
        <f t="shared" si="207"/>
        <v>0</v>
      </c>
      <c r="AR57" s="1549">
        <f t="shared" si="207"/>
        <v>0</v>
      </c>
      <c r="AS57" s="1549">
        <f t="shared" si="207"/>
        <v>0</v>
      </c>
      <c r="AT57" s="1549">
        <f t="shared" si="207"/>
        <v>0</v>
      </c>
      <c r="AU57" s="1549">
        <f t="shared" si="207"/>
        <v>0</v>
      </c>
      <c r="AV57" s="1549">
        <f t="shared" si="207"/>
        <v>0</v>
      </c>
      <c r="AW57" s="1414">
        <f>SUM(AK57:AM57)</f>
        <v>0</v>
      </c>
      <c r="AX57" s="1414">
        <f>SUM(AN57:AP57)</f>
        <v>0</v>
      </c>
      <c r="AY57" s="1414">
        <f>SUM(AQ57:AS57)</f>
        <v>0</v>
      </c>
      <c r="AZ57" s="1414">
        <f>SUM(AT57:AV57)</f>
        <v>0</v>
      </c>
      <c r="BA57" s="1414">
        <f>AW57+AX57+AY57+AZ57</f>
        <v>0</v>
      </c>
      <c r="BB57" s="1549"/>
      <c r="BC57" s="1549">
        <f t="shared" ref="BC57:BM57" si="208">BB57</f>
        <v>0</v>
      </c>
      <c r="BD57" s="1549">
        <f t="shared" si="208"/>
        <v>0</v>
      </c>
      <c r="BE57" s="1549">
        <f t="shared" si="208"/>
        <v>0</v>
      </c>
      <c r="BF57" s="1549">
        <f t="shared" si="208"/>
        <v>0</v>
      </c>
      <c r="BG57" s="1549">
        <f t="shared" si="208"/>
        <v>0</v>
      </c>
      <c r="BH57" s="1549">
        <f t="shared" si="208"/>
        <v>0</v>
      </c>
      <c r="BI57" s="1549">
        <f t="shared" si="208"/>
        <v>0</v>
      </c>
      <c r="BJ57" s="1549">
        <f t="shared" si="208"/>
        <v>0</v>
      </c>
      <c r="BK57" s="1549">
        <f t="shared" si="208"/>
        <v>0</v>
      </c>
      <c r="BL57" s="1549">
        <f t="shared" si="208"/>
        <v>0</v>
      </c>
      <c r="BM57" s="1549">
        <f t="shared" si="208"/>
        <v>0</v>
      </c>
      <c r="BN57" s="1414">
        <f>SUM(BB57:BD57)</f>
        <v>0</v>
      </c>
      <c r="BO57" s="1414">
        <f>SUM(BE57:BG57)</f>
        <v>0</v>
      </c>
      <c r="BP57" s="1414">
        <f>SUM(BH57:BJ57)</f>
        <v>0</v>
      </c>
      <c r="BQ57" s="1414">
        <f>SUM(BK57:BM57)</f>
        <v>0</v>
      </c>
      <c r="BR57" s="1414">
        <f>BN57+BO57+BP57+BQ57</f>
        <v>0</v>
      </c>
    </row>
    <row r="58" spans="1:71">
      <c r="A58" s="481"/>
      <c r="B58" s="169" t="s">
        <v>1599</v>
      </c>
      <c r="C58" s="158">
        <f t="shared" si="204"/>
        <v>0</v>
      </c>
      <c r="D58" s="158">
        <f t="shared" si="204"/>
        <v>0</v>
      </c>
      <c r="E58" s="158">
        <f t="shared" si="204"/>
        <v>0</v>
      </c>
      <c r="F58" s="158">
        <f t="shared" si="204"/>
        <v>0</v>
      </c>
      <c r="G58" s="158">
        <f t="shared" si="204"/>
        <v>0</v>
      </c>
      <c r="H58" s="158">
        <f t="shared" si="204"/>
        <v>0</v>
      </c>
      <c r="I58" s="158">
        <f t="shared" si="204"/>
        <v>0</v>
      </c>
      <c r="J58" s="158">
        <f t="shared" si="204"/>
        <v>0</v>
      </c>
      <c r="K58" s="158">
        <f t="shared" si="204"/>
        <v>0</v>
      </c>
      <c r="L58" s="158">
        <f t="shared" si="204"/>
        <v>0</v>
      </c>
      <c r="M58" s="158">
        <f t="shared" si="204"/>
        <v>0</v>
      </c>
      <c r="N58" s="158">
        <f t="shared" si="204"/>
        <v>0</v>
      </c>
      <c r="O58" s="1548">
        <f>SUM(C58:E58)</f>
        <v>0</v>
      </c>
      <c r="P58" s="1548">
        <f>SUM(F58:H58)</f>
        <v>0</v>
      </c>
      <c r="Q58" s="1548">
        <f>SUM(I58:K58)</f>
        <v>0</v>
      </c>
      <c r="R58" s="1548">
        <f>SUM(L58:N58)</f>
        <v>0</v>
      </c>
      <c r="S58" s="1548">
        <f>O58+P58+Q58+R58</f>
        <v>0</v>
      </c>
      <c r="T58" s="1549"/>
      <c r="U58" s="1549">
        <f t="shared" ref="U58:AE58" si="209">T58</f>
        <v>0</v>
      </c>
      <c r="V58" s="1549">
        <f t="shared" si="209"/>
        <v>0</v>
      </c>
      <c r="W58" s="1549">
        <f t="shared" si="209"/>
        <v>0</v>
      </c>
      <c r="X58" s="1549">
        <f t="shared" si="209"/>
        <v>0</v>
      </c>
      <c r="Y58" s="1549">
        <f t="shared" si="209"/>
        <v>0</v>
      </c>
      <c r="Z58" s="1549">
        <f t="shared" si="209"/>
        <v>0</v>
      </c>
      <c r="AA58" s="1549">
        <f t="shared" si="209"/>
        <v>0</v>
      </c>
      <c r="AB58" s="1549">
        <f t="shared" si="209"/>
        <v>0</v>
      </c>
      <c r="AC58" s="1549">
        <f t="shared" si="209"/>
        <v>0</v>
      </c>
      <c r="AD58" s="1549">
        <f t="shared" si="209"/>
        <v>0</v>
      </c>
      <c r="AE58" s="1549">
        <f t="shared" si="209"/>
        <v>0</v>
      </c>
      <c r="AF58" s="1414">
        <f>SUM(T58:V58)</f>
        <v>0</v>
      </c>
      <c r="AG58" s="1414">
        <f>SUM(W58:Y58)</f>
        <v>0</v>
      </c>
      <c r="AH58" s="1414">
        <f>SUM(Z58:AB58)</f>
        <v>0</v>
      </c>
      <c r="AI58" s="1414">
        <f>SUM(AC58:AE58)</f>
        <v>0</v>
      </c>
      <c r="AJ58" s="1414">
        <f>AF58+AG58+AH58+AI58</f>
        <v>0</v>
      </c>
      <c r="AK58" s="1549"/>
      <c r="AL58" s="1549">
        <f t="shared" ref="AL58:AV58" si="210">AK58</f>
        <v>0</v>
      </c>
      <c r="AM58" s="1549">
        <f t="shared" si="210"/>
        <v>0</v>
      </c>
      <c r="AN58" s="1549">
        <f t="shared" si="210"/>
        <v>0</v>
      </c>
      <c r="AO58" s="1549">
        <f t="shared" si="210"/>
        <v>0</v>
      </c>
      <c r="AP58" s="1549">
        <f t="shared" si="210"/>
        <v>0</v>
      </c>
      <c r="AQ58" s="1549">
        <f t="shared" si="210"/>
        <v>0</v>
      </c>
      <c r="AR58" s="1549">
        <f t="shared" si="210"/>
        <v>0</v>
      </c>
      <c r="AS58" s="1549">
        <f t="shared" si="210"/>
        <v>0</v>
      </c>
      <c r="AT58" s="1549">
        <f t="shared" si="210"/>
        <v>0</v>
      </c>
      <c r="AU58" s="1549">
        <f t="shared" si="210"/>
        <v>0</v>
      </c>
      <c r="AV58" s="1549">
        <f t="shared" si="210"/>
        <v>0</v>
      </c>
      <c r="AW58" s="1414">
        <f>SUM(AK58:AM58)</f>
        <v>0</v>
      </c>
      <c r="AX58" s="1414">
        <f>SUM(AN58:AP58)</f>
        <v>0</v>
      </c>
      <c r="AY58" s="1414">
        <f>SUM(AQ58:AS58)</f>
        <v>0</v>
      </c>
      <c r="AZ58" s="1414">
        <f>SUM(AT58:AV58)</f>
        <v>0</v>
      </c>
      <c r="BA58" s="1414">
        <f>AW58+AX58+AY58+AZ58</f>
        <v>0</v>
      </c>
      <c r="BB58" s="1549"/>
      <c r="BC58" s="1549">
        <f t="shared" ref="BC58:BM58" si="211">BB58</f>
        <v>0</v>
      </c>
      <c r="BD58" s="1549">
        <f t="shared" si="211"/>
        <v>0</v>
      </c>
      <c r="BE58" s="1549">
        <f t="shared" si="211"/>
        <v>0</v>
      </c>
      <c r="BF58" s="1549">
        <f t="shared" si="211"/>
        <v>0</v>
      </c>
      <c r="BG58" s="1549">
        <f t="shared" si="211"/>
        <v>0</v>
      </c>
      <c r="BH58" s="1549">
        <f t="shared" si="211"/>
        <v>0</v>
      </c>
      <c r="BI58" s="1549">
        <f t="shared" si="211"/>
        <v>0</v>
      </c>
      <c r="BJ58" s="1549">
        <f t="shared" si="211"/>
        <v>0</v>
      </c>
      <c r="BK58" s="1549">
        <f t="shared" si="211"/>
        <v>0</v>
      </c>
      <c r="BL58" s="1549">
        <f t="shared" si="211"/>
        <v>0</v>
      </c>
      <c r="BM58" s="1549">
        <f t="shared" si="211"/>
        <v>0</v>
      </c>
      <c r="BN58" s="1414">
        <f>SUM(BB58:BD58)</f>
        <v>0</v>
      </c>
      <c r="BO58" s="1414">
        <f>SUM(BE58:BG58)</f>
        <v>0</v>
      </c>
      <c r="BP58" s="1414">
        <f>SUM(BH58:BJ58)</f>
        <v>0</v>
      </c>
      <c r="BQ58" s="1414">
        <f>SUM(BK58:BM58)</f>
        <v>0</v>
      </c>
      <c r="BR58" s="1414">
        <f>BN58+BO58+BP58+BQ58</f>
        <v>0</v>
      </c>
    </row>
    <row r="59" spans="1:71">
      <c r="A59" s="481"/>
      <c r="B59" s="170" t="s">
        <v>1600</v>
      </c>
      <c r="C59" s="158">
        <f t="shared" si="204"/>
        <v>0</v>
      </c>
      <c r="D59" s="158">
        <f t="shared" si="204"/>
        <v>0</v>
      </c>
      <c r="E59" s="158">
        <f t="shared" si="204"/>
        <v>0</v>
      </c>
      <c r="F59" s="158">
        <f t="shared" si="204"/>
        <v>0</v>
      </c>
      <c r="G59" s="158">
        <f t="shared" si="204"/>
        <v>0</v>
      </c>
      <c r="H59" s="158">
        <f t="shared" si="204"/>
        <v>0</v>
      </c>
      <c r="I59" s="158">
        <f t="shared" si="204"/>
        <v>0</v>
      </c>
      <c r="J59" s="158">
        <f t="shared" si="204"/>
        <v>0</v>
      </c>
      <c r="K59" s="158">
        <f t="shared" si="204"/>
        <v>0</v>
      </c>
      <c r="L59" s="158">
        <f t="shared" si="204"/>
        <v>0</v>
      </c>
      <c r="M59" s="158">
        <f t="shared" si="204"/>
        <v>0</v>
      </c>
      <c r="N59" s="158">
        <f t="shared" si="204"/>
        <v>0</v>
      </c>
      <c r="O59" s="1548">
        <f>SUM(C59:E59)</f>
        <v>0</v>
      </c>
      <c r="P59" s="1548">
        <f>SUM(F59:H59)</f>
        <v>0</v>
      </c>
      <c r="Q59" s="1548">
        <f>SUM(I59:K59)</f>
        <v>0</v>
      </c>
      <c r="R59" s="1548">
        <f>SUM(L59:N59)</f>
        <v>0</v>
      </c>
      <c r="S59" s="1548">
        <f>O59+P59+Q59+R59</f>
        <v>0</v>
      </c>
      <c r="T59" s="1549"/>
      <c r="U59" s="1549">
        <f t="shared" ref="U59:AE59" si="212">T59</f>
        <v>0</v>
      </c>
      <c r="V59" s="1549">
        <f t="shared" si="212"/>
        <v>0</v>
      </c>
      <c r="W59" s="1549">
        <f t="shared" si="212"/>
        <v>0</v>
      </c>
      <c r="X59" s="1549">
        <f t="shared" si="212"/>
        <v>0</v>
      </c>
      <c r="Y59" s="1549">
        <f t="shared" si="212"/>
        <v>0</v>
      </c>
      <c r="Z59" s="1549">
        <f t="shared" si="212"/>
        <v>0</v>
      </c>
      <c r="AA59" s="1549">
        <f t="shared" si="212"/>
        <v>0</v>
      </c>
      <c r="AB59" s="1549">
        <f t="shared" si="212"/>
        <v>0</v>
      </c>
      <c r="AC59" s="1549">
        <f t="shared" si="212"/>
        <v>0</v>
      </c>
      <c r="AD59" s="1549">
        <f t="shared" si="212"/>
        <v>0</v>
      </c>
      <c r="AE59" s="1549">
        <f t="shared" si="212"/>
        <v>0</v>
      </c>
      <c r="AF59" s="1414">
        <f>SUM(T59:V59)</f>
        <v>0</v>
      </c>
      <c r="AG59" s="1414">
        <f>SUM(W59:Y59)</f>
        <v>0</v>
      </c>
      <c r="AH59" s="1414">
        <f>SUM(Z59:AB59)</f>
        <v>0</v>
      </c>
      <c r="AI59" s="1414">
        <f>SUM(AC59:AE59)</f>
        <v>0</v>
      </c>
      <c r="AJ59" s="1414">
        <f>AF59+AG59+AH59+AI59</f>
        <v>0</v>
      </c>
      <c r="AK59" s="1549"/>
      <c r="AL59" s="1549">
        <f t="shared" ref="AL59:AV59" si="213">AK59</f>
        <v>0</v>
      </c>
      <c r="AM59" s="1549">
        <f t="shared" si="213"/>
        <v>0</v>
      </c>
      <c r="AN59" s="1549">
        <f t="shared" si="213"/>
        <v>0</v>
      </c>
      <c r="AO59" s="1549">
        <f t="shared" si="213"/>
        <v>0</v>
      </c>
      <c r="AP59" s="1549">
        <f t="shared" si="213"/>
        <v>0</v>
      </c>
      <c r="AQ59" s="1549">
        <f t="shared" si="213"/>
        <v>0</v>
      </c>
      <c r="AR59" s="1549">
        <f t="shared" si="213"/>
        <v>0</v>
      </c>
      <c r="AS59" s="1549">
        <f t="shared" si="213"/>
        <v>0</v>
      </c>
      <c r="AT59" s="1549">
        <f t="shared" si="213"/>
        <v>0</v>
      </c>
      <c r="AU59" s="1549">
        <f t="shared" si="213"/>
        <v>0</v>
      </c>
      <c r="AV59" s="1549">
        <f t="shared" si="213"/>
        <v>0</v>
      </c>
      <c r="AW59" s="1414">
        <f>SUM(AK59:AM59)</f>
        <v>0</v>
      </c>
      <c r="AX59" s="1414">
        <f>SUM(AN59:AP59)</f>
        <v>0</v>
      </c>
      <c r="AY59" s="1414">
        <f>SUM(AQ59:AS59)</f>
        <v>0</v>
      </c>
      <c r="AZ59" s="1414">
        <f>SUM(AT59:AV59)</f>
        <v>0</v>
      </c>
      <c r="BA59" s="1414">
        <f>AW59+AX59+AY59+AZ59</f>
        <v>0</v>
      </c>
      <c r="BB59" s="1549"/>
      <c r="BC59" s="1549">
        <f t="shared" ref="BC59:BM59" si="214">BB59</f>
        <v>0</v>
      </c>
      <c r="BD59" s="1549">
        <f t="shared" si="214"/>
        <v>0</v>
      </c>
      <c r="BE59" s="1549">
        <f t="shared" si="214"/>
        <v>0</v>
      </c>
      <c r="BF59" s="1549">
        <f t="shared" si="214"/>
        <v>0</v>
      </c>
      <c r="BG59" s="1549">
        <f t="shared" si="214"/>
        <v>0</v>
      </c>
      <c r="BH59" s="1549">
        <f t="shared" si="214"/>
        <v>0</v>
      </c>
      <c r="BI59" s="1549">
        <f t="shared" si="214"/>
        <v>0</v>
      </c>
      <c r="BJ59" s="1549">
        <f t="shared" si="214"/>
        <v>0</v>
      </c>
      <c r="BK59" s="1549">
        <f t="shared" si="214"/>
        <v>0</v>
      </c>
      <c r="BL59" s="1549">
        <f t="shared" si="214"/>
        <v>0</v>
      </c>
      <c r="BM59" s="1549">
        <f t="shared" si="214"/>
        <v>0</v>
      </c>
      <c r="BN59" s="1414">
        <f>SUM(BB59:BD59)</f>
        <v>0</v>
      </c>
      <c r="BO59" s="1414">
        <f>SUM(BE59:BG59)</f>
        <v>0</v>
      </c>
      <c r="BP59" s="1414">
        <f>SUM(BH59:BJ59)</f>
        <v>0</v>
      </c>
      <c r="BQ59" s="1414">
        <f>SUM(BK59:BM59)</f>
        <v>0</v>
      </c>
      <c r="BR59" s="1414">
        <f>BN59+BO59+BP59+BQ59</f>
        <v>0</v>
      </c>
    </row>
    <row r="60" spans="1:71" ht="18.75">
      <c r="A60" s="481"/>
      <c r="B60" s="390" t="s">
        <v>1821</v>
      </c>
      <c r="C60" s="158">
        <f t="shared" ref="C60:N60" si="215">T60+AK60+BB60</f>
        <v>145895.89000000001</v>
      </c>
      <c r="D60" s="158">
        <f t="shared" si="215"/>
        <v>145895.89000000001</v>
      </c>
      <c r="E60" s="158">
        <f t="shared" si="215"/>
        <v>145895.89000000001</v>
      </c>
      <c r="F60" s="158">
        <f t="shared" si="215"/>
        <v>145895.89000000001</v>
      </c>
      <c r="G60" s="158">
        <f t="shared" si="215"/>
        <v>145895.89000000001</v>
      </c>
      <c r="H60" s="158">
        <f t="shared" si="215"/>
        <v>145895.89000000001</v>
      </c>
      <c r="I60" s="158">
        <f t="shared" si="215"/>
        <v>145895.89000000001</v>
      </c>
      <c r="J60" s="158">
        <f t="shared" si="215"/>
        <v>145895.89000000001</v>
      </c>
      <c r="K60" s="158">
        <f t="shared" si="215"/>
        <v>145895.89000000001</v>
      </c>
      <c r="L60" s="158">
        <f t="shared" si="215"/>
        <v>145895.89000000001</v>
      </c>
      <c r="M60" s="158">
        <f t="shared" si="215"/>
        <v>145895.89000000001</v>
      </c>
      <c r="N60" s="158">
        <f t="shared" si="215"/>
        <v>145895.89000000001</v>
      </c>
      <c r="O60" s="1548">
        <f>SUM(C60:E60)</f>
        <v>437687.67000000004</v>
      </c>
      <c r="P60" s="1548">
        <f>SUM(F60:H60)</f>
        <v>437687.67000000004</v>
      </c>
      <c r="Q60" s="1548">
        <f>SUM(I60:K60)</f>
        <v>437687.67000000004</v>
      </c>
      <c r="R60" s="1548">
        <f>SUM(L60:N60)</f>
        <v>437687.67000000004</v>
      </c>
      <c r="S60" s="1548">
        <f>O60+P60+Q60+R60</f>
        <v>1750750.6800000002</v>
      </c>
      <c r="T60" s="1559">
        <f>145895.89</f>
        <v>145895.89000000001</v>
      </c>
      <c r="U60" s="1549">
        <f t="shared" ref="U60:AE60" si="216">T60</f>
        <v>145895.89000000001</v>
      </c>
      <c r="V60" s="1549">
        <f t="shared" si="216"/>
        <v>145895.89000000001</v>
      </c>
      <c r="W60" s="1549">
        <f t="shared" si="216"/>
        <v>145895.89000000001</v>
      </c>
      <c r="X60" s="1549">
        <f t="shared" si="216"/>
        <v>145895.89000000001</v>
      </c>
      <c r="Y60" s="1549">
        <f t="shared" si="216"/>
        <v>145895.89000000001</v>
      </c>
      <c r="Z60" s="1549">
        <f t="shared" si="216"/>
        <v>145895.89000000001</v>
      </c>
      <c r="AA60" s="1549">
        <f t="shared" si="216"/>
        <v>145895.89000000001</v>
      </c>
      <c r="AB60" s="1549">
        <f t="shared" si="216"/>
        <v>145895.89000000001</v>
      </c>
      <c r="AC60" s="1549">
        <f t="shared" si="216"/>
        <v>145895.89000000001</v>
      </c>
      <c r="AD60" s="1549">
        <f t="shared" si="216"/>
        <v>145895.89000000001</v>
      </c>
      <c r="AE60" s="1549">
        <f t="shared" si="216"/>
        <v>145895.89000000001</v>
      </c>
      <c r="AF60" s="1414">
        <f>SUM(T60:V60)</f>
        <v>437687.67000000004</v>
      </c>
      <c r="AG60" s="1414">
        <f>SUM(W60:Y60)</f>
        <v>437687.67000000004</v>
      </c>
      <c r="AH60" s="1414">
        <f>SUM(Z60:AB60)</f>
        <v>437687.67000000004</v>
      </c>
      <c r="AI60" s="1414">
        <f>SUM(AC60:AE60)</f>
        <v>437687.67000000004</v>
      </c>
      <c r="AJ60" s="1414">
        <f>AF60+AG60+AH60+AI60</f>
        <v>1750750.6800000002</v>
      </c>
      <c r="AK60" s="1549"/>
      <c r="AL60" s="1549">
        <f t="shared" ref="AL60:AV60" si="217">AK60</f>
        <v>0</v>
      </c>
      <c r="AM60" s="1549">
        <f t="shared" si="217"/>
        <v>0</v>
      </c>
      <c r="AN60" s="1549">
        <f t="shared" si="217"/>
        <v>0</v>
      </c>
      <c r="AO60" s="1549">
        <f t="shared" si="217"/>
        <v>0</v>
      </c>
      <c r="AP60" s="1549">
        <f t="shared" si="217"/>
        <v>0</v>
      </c>
      <c r="AQ60" s="1549">
        <f t="shared" si="217"/>
        <v>0</v>
      </c>
      <c r="AR60" s="1549">
        <f t="shared" si="217"/>
        <v>0</v>
      </c>
      <c r="AS60" s="1549">
        <f t="shared" si="217"/>
        <v>0</v>
      </c>
      <c r="AT60" s="1549">
        <f t="shared" si="217"/>
        <v>0</v>
      </c>
      <c r="AU60" s="1549">
        <f t="shared" si="217"/>
        <v>0</v>
      </c>
      <c r="AV60" s="1549">
        <f t="shared" si="217"/>
        <v>0</v>
      </c>
      <c r="AW60" s="1414">
        <f>SUM(AK60:AM60)</f>
        <v>0</v>
      </c>
      <c r="AX60" s="1414">
        <f>SUM(AN60:AP60)</f>
        <v>0</v>
      </c>
      <c r="AY60" s="1414">
        <f>SUM(AQ60:AS60)</f>
        <v>0</v>
      </c>
      <c r="AZ60" s="1414">
        <f>SUM(AT60:AV60)</f>
        <v>0</v>
      </c>
      <c r="BA60" s="1414">
        <f>AW60+AX60+AY60+AZ60</f>
        <v>0</v>
      </c>
      <c r="BB60" s="1549"/>
      <c r="BC60" s="1549">
        <f t="shared" ref="BC60:BM60" si="218">BB60</f>
        <v>0</v>
      </c>
      <c r="BD60" s="1549">
        <f t="shared" si="218"/>
        <v>0</v>
      </c>
      <c r="BE60" s="1549">
        <f t="shared" si="218"/>
        <v>0</v>
      </c>
      <c r="BF60" s="1549">
        <f t="shared" si="218"/>
        <v>0</v>
      </c>
      <c r="BG60" s="1549">
        <f t="shared" si="218"/>
        <v>0</v>
      </c>
      <c r="BH60" s="1549">
        <f t="shared" si="218"/>
        <v>0</v>
      </c>
      <c r="BI60" s="1549">
        <f t="shared" si="218"/>
        <v>0</v>
      </c>
      <c r="BJ60" s="1549">
        <f t="shared" si="218"/>
        <v>0</v>
      </c>
      <c r="BK60" s="1549">
        <f t="shared" si="218"/>
        <v>0</v>
      </c>
      <c r="BL60" s="1549">
        <f t="shared" si="218"/>
        <v>0</v>
      </c>
      <c r="BM60" s="1549">
        <f t="shared" si="218"/>
        <v>0</v>
      </c>
      <c r="BN60" s="1414">
        <f>SUM(BB60:BD60)</f>
        <v>0</v>
      </c>
      <c r="BO60" s="1414">
        <f>SUM(BE60:BG60)</f>
        <v>0</v>
      </c>
      <c r="BP60" s="1414">
        <f>SUM(BH60:BJ60)</f>
        <v>0</v>
      </c>
      <c r="BQ60" s="1414">
        <f>SUM(BK60:BM60)</f>
        <v>0</v>
      </c>
      <c r="BR60" s="1414">
        <f>BN60+BO60+BP60+BQ60</f>
        <v>0</v>
      </c>
    </row>
    <row r="61" spans="1:71">
      <c r="A61" s="477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91"/>
      <c r="P61" s="191"/>
      <c r="Q61" s="191"/>
      <c r="R61" s="191"/>
      <c r="S61" s="191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415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415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415"/>
    </row>
  </sheetData>
  <phoneticPr fontId="66" type="noConversion"/>
  <conditionalFormatting sqref="C4:S60">
    <cfRule type="cellIs" dxfId="1000" priority="995" operator="lessThan">
      <formula>0</formula>
    </cfRule>
  </conditionalFormatting>
  <conditionalFormatting sqref="C24:C25 D25:S25">
    <cfRule type="cellIs" dxfId="999" priority="994" operator="lessThan">
      <formula>0</formula>
    </cfRule>
  </conditionalFormatting>
  <conditionalFormatting sqref="C51:C52 D33:R33 D38:R38 C55:R55 C9:R10 C4:R5 C33:C38 C58:C60 O4:S60">
    <cfRule type="cellIs" dxfId="998" priority="993" operator="lessThan">
      <formula>0</formula>
    </cfRule>
  </conditionalFormatting>
  <conditionalFormatting sqref="C20:C23">
    <cfRule type="cellIs" dxfId="997" priority="992" operator="lessThan">
      <formula>0</formula>
    </cfRule>
  </conditionalFormatting>
  <conditionalFormatting sqref="D32:R32 C26:C32">
    <cfRule type="cellIs" dxfId="996" priority="991" operator="lessThan">
      <formula>0</formula>
    </cfRule>
  </conditionalFormatting>
  <conditionalFormatting sqref="C6:R8">
    <cfRule type="cellIs" dxfId="995" priority="990" operator="lessThan">
      <formula>0</formula>
    </cfRule>
  </conditionalFormatting>
  <conditionalFormatting sqref="C17:C19">
    <cfRule type="cellIs" dxfId="994" priority="989" operator="lessThan">
      <formula>0</formula>
    </cfRule>
  </conditionalFormatting>
  <conditionalFormatting sqref="C11:C24">
    <cfRule type="cellIs" dxfId="993" priority="988" operator="lessThan">
      <formula>0</formula>
    </cfRule>
  </conditionalFormatting>
  <conditionalFormatting sqref="C56:C60">
    <cfRule type="cellIs" dxfId="992" priority="987" operator="lessThan">
      <formula>0</formula>
    </cfRule>
  </conditionalFormatting>
  <conditionalFormatting sqref="C53">
    <cfRule type="cellIs" dxfId="991" priority="986" operator="lessThan">
      <formula>0</formula>
    </cfRule>
  </conditionalFormatting>
  <conditionalFormatting sqref="C54">
    <cfRule type="cellIs" dxfId="990" priority="985" operator="lessThan">
      <formula>0</formula>
    </cfRule>
  </conditionalFormatting>
  <conditionalFormatting sqref="C39:C54">
    <cfRule type="cellIs" dxfId="989" priority="984" operator="lessThan">
      <formula>0</formula>
    </cfRule>
  </conditionalFormatting>
  <conditionalFormatting sqref="C50">
    <cfRule type="cellIs" dxfId="988" priority="983" operator="lessThan">
      <formula>0</formula>
    </cfRule>
  </conditionalFormatting>
  <conditionalFormatting sqref="C11:R24">
    <cfRule type="cellIs" dxfId="987" priority="982" operator="lessThan">
      <formula>0</formula>
    </cfRule>
  </conditionalFormatting>
  <conditionalFormatting sqref="C22">
    <cfRule type="cellIs" dxfId="986" priority="981" operator="lessThan">
      <formula>0</formula>
    </cfRule>
  </conditionalFormatting>
  <conditionalFormatting sqref="C22:R22">
    <cfRule type="cellIs" dxfId="985" priority="980" operator="lessThan">
      <formula>0</formula>
    </cfRule>
  </conditionalFormatting>
  <conditionalFormatting sqref="C23">
    <cfRule type="cellIs" dxfId="984" priority="979" operator="lessThan">
      <formula>0</formula>
    </cfRule>
  </conditionalFormatting>
  <conditionalFormatting sqref="C23:R23">
    <cfRule type="cellIs" dxfId="983" priority="978" operator="lessThan">
      <formula>0</formula>
    </cfRule>
  </conditionalFormatting>
  <conditionalFormatting sqref="C24">
    <cfRule type="cellIs" dxfId="982" priority="977" operator="lessThan">
      <formula>0</formula>
    </cfRule>
  </conditionalFormatting>
  <conditionalFormatting sqref="C24">
    <cfRule type="cellIs" dxfId="981" priority="976" operator="lessThan">
      <formula>0</formula>
    </cfRule>
  </conditionalFormatting>
  <conditionalFormatting sqref="C24:R24">
    <cfRule type="cellIs" dxfId="980" priority="975" operator="lessThan">
      <formula>0</formula>
    </cfRule>
  </conditionalFormatting>
  <conditionalFormatting sqref="C26:C32">
    <cfRule type="cellIs" dxfId="979" priority="974" operator="lessThan">
      <formula>0</formula>
    </cfRule>
  </conditionalFormatting>
  <conditionalFormatting sqref="C26:C32">
    <cfRule type="cellIs" dxfId="978" priority="973" operator="lessThan">
      <formula>0</formula>
    </cfRule>
  </conditionalFormatting>
  <conditionalFormatting sqref="C26:R32">
    <cfRule type="cellIs" dxfId="977" priority="972" operator="lessThan">
      <formula>0</formula>
    </cfRule>
  </conditionalFormatting>
  <conditionalFormatting sqref="C34:R37">
    <cfRule type="cellIs" dxfId="976" priority="971" operator="lessThan">
      <formula>0</formula>
    </cfRule>
  </conditionalFormatting>
  <conditionalFormatting sqref="C34:C37">
    <cfRule type="cellIs" dxfId="975" priority="970" operator="lessThan">
      <formula>0</formula>
    </cfRule>
  </conditionalFormatting>
  <conditionalFormatting sqref="C34:C37">
    <cfRule type="cellIs" dxfId="974" priority="969" operator="lessThan">
      <formula>0</formula>
    </cfRule>
  </conditionalFormatting>
  <conditionalFormatting sqref="C34:R37">
    <cfRule type="cellIs" dxfId="973" priority="968" operator="lessThan">
      <formula>0</formula>
    </cfRule>
  </conditionalFormatting>
  <conditionalFormatting sqref="C39:C54">
    <cfRule type="cellIs" dxfId="972" priority="967" operator="lessThan">
      <formula>0</formula>
    </cfRule>
  </conditionalFormatting>
  <conditionalFormatting sqref="C39:R54">
    <cfRule type="cellIs" dxfId="971" priority="966" operator="lessThan">
      <formula>0</formula>
    </cfRule>
  </conditionalFormatting>
  <conditionalFormatting sqref="C39:C54">
    <cfRule type="cellIs" dxfId="970" priority="965" operator="lessThan">
      <formula>0</formula>
    </cfRule>
  </conditionalFormatting>
  <conditionalFormatting sqref="C39:C54">
    <cfRule type="cellIs" dxfId="969" priority="964" operator="lessThan">
      <formula>0</formula>
    </cfRule>
  </conditionalFormatting>
  <conditionalFormatting sqref="C39:R54">
    <cfRule type="cellIs" dxfId="968" priority="963" operator="lessThan">
      <formula>0</formula>
    </cfRule>
  </conditionalFormatting>
  <conditionalFormatting sqref="C56:C60">
    <cfRule type="cellIs" dxfId="967" priority="962" operator="lessThan">
      <formula>0</formula>
    </cfRule>
  </conditionalFormatting>
  <conditionalFormatting sqref="C56:C60">
    <cfRule type="cellIs" dxfId="966" priority="961" operator="lessThan">
      <formula>0</formula>
    </cfRule>
  </conditionalFormatting>
  <conditionalFormatting sqref="C56:C60">
    <cfRule type="cellIs" dxfId="965" priority="960" operator="lessThan">
      <formula>0</formula>
    </cfRule>
  </conditionalFormatting>
  <conditionalFormatting sqref="C56:R60">
    <cfRule type="cellIs" dxfId="964" priority="959" operator="lessThan">
      <formula>0</formula>
    </cfRule>
  </conditionalFormatting>
  <conditionalFormatting sqref="C56:C60">
    <cfRule type="cellIs" dxfId="963" priority="958" operator="lessThan">
      <formula>0</formula>
    </cfRule>
  </conditionalFormatting>
  <conditionalFormatting sqref="C56:C60">
    <cfRule type="cellIs" dxfId="962" priority="957" operator="lessThan">
      <formula>0</formula>
    </cfRule>
  </conditionalFormatting>
  <conditionalFormatting sqref="C56:R60">
    <cfRule type="cellIs" dxfId="961" priority="956" operator="lessThan">
      <formula>0</formula>
    </cfRule>
  </conditionalFormatting>
  <conditionalFormatting sqref="C4:S4">
    <cfRule type="cellIs" dxfId="960" priority="955" operator="lessThan">
      <formula>0</formula>
    </cfRule>
  </conditionalFormatting>
  <conditionalFormatting sqref="C4:S4">
    <cfRule type="cellIs" dxfId="959" priority="954" operator="lessThan">
      <formula>0</formula>
    </cfRule>
  </conditionalFormatting>
  <conditionalFormatting sqref="Q11:R24">
    <cfRule type="cellIs" dxfId="958" priority="953" operator="lessThan">
      <formula>0</formula>
    </cfRule>
  </conditionalFormatting>
  <conditionalFormatting sqref="Q26:R32">
    <cfRule type="cellIs" dxfId="957" priority="952" operator="lessThan">
      <formula>0</formula>
    </cfRule>
  </conditionalFormatting>
  <conditionalFormatting sqref="Q26:R32">
    <cfRule type="cellIs" dxfId="956" priority="951" operator="lessThan">
      <formula>0</formula>
    </cfRule>
  </conditionalFormatting>
  <conditionalFormatting sqref="Q26:R32">
    <cfRule type="cellIs" dxfId="955" priority="950" operator="lessThan">
      <formula>0</formula>
    </cfRule>
  </conditionalFormatting>
  <conditionalFormatting sqref="Q34:R37">
    <cfRule type="cellIs" dxfId="954" priority="949" operator="lessThan">
      <formula>0</formula>
    </cfRule>
  </conditionalFormatting>
  <conditionalFormatting sqref="Q34:R37">
    <cfRule type="cellIs" dxfId="953" priority="948" operator="lessThan">
      <formula>0</formula>
    </cfRule>
  </conditionalFormatting>
  <conditionalFormatting sqref="Q34:R37">
    <cfRule type="cellIs" dxfId="952" priority="947" operator="lessThan">
      <formula>0</formula>
    </cfRule>
  </conditionalFormatting>
  <conditionalFormatting sqref="Q34:R37">
    <cfRule type="cellIs" dxfId="951" priority="946" operator="lessThan">
      <formula>0</formula>
    </cfRule>
  </conditionalFormatting>
  <conditionalFormatting sqref="Q34:R37">
    <cfRule type="cellIs" dxfId="950" priority="945" operator="lessThan">
      <formula>0</formula>
    </cfRule>
  </conditionalFormatting>
  <conditionalFormatting sqref="Q39:R54">
    <cfRule type="cellIs" dxfId="949" priority="944" operator="lessThan">
      <formula>0</formula>
    </cfRule>
  </conditionalFormatting>
  <conditionalFormatting sqref="Q39:R54">
    <cfRule type="cellIs" dxfId="948" priority="943" operator="lessThan">
      <formula>0</formula>
    </cfRule>
  </conditionalFormatting>
  <conditionalFormatting sqref="Q39:R54">
    <cfRule type="cellIs" dxfId="947" priority="942" operator="lessThan">
      <formula>0</formula>
    </cfRule>
  </conditionalFormatting>
  <conditionalFormatting sqref="Q39:R54">
    <cfRule type="cellIs" dxfId="946" priority="941" operator="lessThan">
      <formula>0</formula>
    </cfRule>
  </conditionalFormatting>
  <conditionalFormatting sqref="Q39:R54">
    <cfRule type="cellIs" dxfId="945" priority="940" operator="lessThan">
      <formula>0</formula>
    </cfRule>
  </conditionalFormatting>
  <conditionalFormatting sqref="Q39:R54">
    <cfRule type="cellIs" dxfId="944" priority="939" operator="lessThan">
      <formula>0</formula>
    </cfRule>
  </conditionalFormatting>
  <conditionalFormatting sqref="Q39:R54">
    <cfRule type="cellIs" dxfId="943" priority="938" operator="lessThan">
      <formula>0</formula>
    </cfRule>
  </conditionalFormatting>
  <conditionalFormatting sqref="Q56:R60">
    <cfRule type="cellIs" dxfId="942" priority="937" operator="lessThan">
      <formula>0</formula>
    </cfRule>
  </conditionalFormatting>
  <conditionalFormatting sqref="Q56:R60">
    <cfRule type="cellIs" dxfId="941" priority="936" operator="lessThan">
      <formula>0</formula>
    </cfRule>
  </conditionalFormatting>
  <conditionalFormatting sqref="Q56:R60">
    <cfRule type="cellIs" dxfId="940" priority="935" operator="lessThan">
      <formula>0</formula>
    </cfRule>
  </conditionalFormatting>
  <conditionalFormatting sqref="Q56:R60">
    <cfRule type="cellIs" dxfId="939" priority="934" operator="lessThan">
      <formula>0</formula>
    </cfRule>
  </conditionalFormatting>
  <conditionalFormatting sqref="Q56:R60">
    <cfRule type="cellIs" dxfId="938" priority="933" operator="lessThan">
      <formula>0</formula>
    </cfRule>
  </conditionalFormatting>
  <conditionalFormatting sqref="Q56:R60">
    <cfRule type="cellIs" dxfId="937" priority="932" operator="lessThan">
      <formula>0</formula>
    </cfRule>
  </conditionalFormatting>
  <conditionalFormatting sqref="Q56:R60">
    <cfRule type="cellIs" dxfId="936" priority="931" operator="lessThan">
      <formula>0</formula>
    </cfRule>
  </conditionalFormatting>
  <conditionalFormatting sqref="Q56:R60">
    <cfRule type="cellIs" dxfId="935" priority="930" operator="lessThan">
      <formula>0</formula>
    </cfRule>
  </conditionalFormatting>
  <conditionalFormatting sqref="Q56:R60">
    <cfRule type="cellIs" dxfId="934" priority="929" operator="lessThan">
      <formula>0</formula>
    </cfRule>
  </conditionalFormatting>
  <conditionalFormatting sqref="O11:P24">
    <cfRule type="cellIs" dxfId="933" priority="928" operator="lessThan">
      <formula>0</formula>
    </cfRule>
  </conditionalFormatting>
  <conditionalFormatting sqref="O26:P32">
    <cfRule type="cellIs" dxfId="932" priority="927" operator="lessThan">
      <formula>0</formula>
    </cfRule>
  </conditionalFormatting>
  <conditionalFormatting sqref="O26:P32">
    <cfRule type="cellIs" dxfId="931" priority="926" operator="lessThan">
      <formula>0</formula>
    </cfRule>
  </conditionalFormatting>
  <conditionalFormatting sqref="O26:P32">
    <cfRule type="cellIs" dxfId="930" priority="925" operator="lessThan">
      <formula>0</formula>
    </cfRule>
  </conditionalFormatting>
  <conditionalFormatting sqref="O34:P37">
    <cfRule type="cellIs" dxfId="929" priority="924" operator="lessThan">
      <formula>0</formula>
    </cfRule>
  </conditionalFormatting>
  <conditionalFormatting sqref="O34:P37">
    <cfRule type="cellIs" dxfId="928" priority="923" operator="lessThan">
      <formula>0</formula>
    </cfRule>
  </conditionalFormatting>
  <conditionalFormatting sqref="O34:P37">
    <cfRule type="cellIs" dxfId="927" priority="922" operator="lessThan">
      <formula>0</formula>
    </cfRule>
  </conditionalFormatting>
  <conditionalFormatting sqref="O34:P37">
    <cfRule type="cellIs" dxfId="926" priority="921" operator="lessThan">
      <formula>0</formula>
    </cfRule>
  </conditionalFormatting>
  <conditionalFormatting sqref="O34:P37">
    <cfRule type="cellIs" dxfId="925" priority="920" operator="lessThan">
      <formula>0</formula>
    </cfRule>
  </conditionalFormatting>
  <conditionalFormatting sqref="O39:P54">
    <cfRule type="cellIs" dxfId="924" priority="919" operator="lessThan">
      <formula>0</formula>
    </cfRule>
  </conditionalFormatting>
  <conditionalFormatting sqref="O39:P54">
    <cfRule type="cellIs" dxfId="923" priority="918" operator="lessThan">
      <formula>0</formula>
    </cfRule>
  </conditionalFormatting>
  <conditionalFormatting sqref="O39:P54">
    <cfRule type="cellIs" dxfId="922" priority="917" operator="lessThan">
      <formula>0</formula>
    </cfRule>
  </conditionalFormatting>
  <conditionalFormatting sqref="O39:P54">
    <cfRule type="cellIs" dxfId="921" priority="916" operator="lessThan">
      <formula>0</formula>
    </cfRule>
  </conditionalFormatting>
  <conditionalFormatting sqref="O39:P54">
    <cfRule type="cellIs" dxfId="920" priority="915" operator="lessThan">
      <formula>0</formula>
    </cfRule>
  </conditionalFormatting>
  <conditionalFormatting sqref="O39:P54">
    <cfRule type="cellIs" dxfId="919" priority="914" operator="lessThan">
      <formula>0</formula>
    </cfRule>
  </conditionalFormatting>
  <conditionalFormatting sqref="O39:P54">
    <cfRule type="cellIs" dxfId="918" priority="913" operator="lessThan">
      <formula>0</formula>
    </cfRule>
  </conditionalFormatting>
  <conditionalFormatting sqref="O56:P60">
    <cfRule type="cellIs" dxfId="917" priority="912" operator="lessThan">
      <formula>0</formula>
    </cfRule>
  </conditionalFormatting>
  <conditionalFormatting sqref="O56:P60">
    <cfRule type="cellIs" dxfId="916" priority="911" operator="lessThan">
      <formula>0</formula>
    </cfRule>
  </conditionalFormatting>
  <conditionalFormatting sqref="O56:P60">
    <cfRule type="cellIs" dxfId="915" priority="910" operator="lessThan">
      <formula>0</formula>
    </cfRule>
  </conditionalFormatting>
  <conditionalFormatting sqref="O56:P60">
    <cfRule type="cellIs" dxfId="914" priority="909" operator="lessThan">
      <formula>0</formula>
    </cfRule>
  </conditionalFormatting>
  <conditionalFormatting sqref="O56:P60">
    <cfRule type="cellIs" dxfId="913" priority="908" operator="lessThan">
      <formula>0</formula>
    </cfRule>
  </conditionalFormatting>
  <conditionalFormatting sqref="O56:P60">
    <cfRule type="cellIs" dxfId="912" priority="907" operator="lessThan">
      <formula>0</formula>
    </cfRule>
  </conditionalFormatting>
  <conditionalFormatting sqref="O56:P60">
    <cfRule type="cellIs" dxfId="911" priority="906" operator="lessThan">
      <formula>0</formula>
    </cfRule>
  </conditionalFormatting>
  <conditionalFormatting sqref="O56:P60">
    <cfRule type="cellIs" dxfId="910" priority="905" operator="lessThan">
      <formula>0</formula>
    </cfRule>
  </conditionalFormatting>
  <conditionalFormatting sqref="O56:P60">
    <cfRule type="cellIs" dxfId="909" priority="904" operator="lessThan">
      <formula>0</formula>
    </cfRule>
  </conditionalFormatting>
  <conditionalFormatting sqref="O11:R24">
    <cfRule type="cellIs" dxfId="908" priority="903" operator="lessThan">
      <formula>0</formula>
    </cfRule>
  </conditionalFormatting>
  <conditionalFormatting sqref="O26:R32">
    <cfRule type="cellIs" dxfId="907" priority="902" operator="lessThan">
      <formula>0</formula>
    </cfRule>
  </conditionalFormatting>
  <conditionalFormatting sqref="O26:R32">
    <cfRule type="cellIs" dxfId="906" priority="901" operator="lessThan">
      <formula>0</formula>
    </cfRule>
  </conditionalFormatting>
  <conditionalFormatting sqref="Q26:R32">
    <cfRule type="cellIs" dxfId="905" priority="900" operator="lessThan">
      <formula>0</formula>
    </cfRule>
  </conditionalFormatting>
  <conditionalFormatting sqref="O26:P32">
    <cfRule type="cellIs" dxfId="904" priority="899" operator="lessThan">
      <formula>0</formula>
    </cfRule>
  </conditionalFormatting>
  <conditionalFormatting sqref="O26:R32">
    <cfRule type="cellIs" dxfId="903" priority="898" operator="lessThan">
      <formula>0</formula>
    </cfRule>
  </conditionalFormatting>
  <conditionalFormatting sqref="O34:R37">
    <cfRule type="cellIs" dxfId="902" priority="897" operator="lessThan">
      <formula>0</formula>
    </cfRule>
  </conditionalFormatting>
  <conditionalFormatting sqref="O34:R37">
    <cfRule type="cellIs" dxfId="901" priority="896" operator="lessThan">
      <formula>0</formula>
    </cfRule>
  </conditionalFormatting>
  <conditionalFormatting sqref="Q34:R37">
    <cfRule type="cellIs" dxfId="900" priority="895" operator="lessThan">
      <formula>0</formula>
    </cfRule>
  </conditionalFormatting>
  <conditionalFormatting sqref="Q34:R37">
    <cfRule type="cellIs" dxfId="899" priority="894" operator="lessThan">
      <formula>0</formula>
    </cfRule>
  </conditionalFormatting>
  <conditionalFormatting sqref="Q34:R37">
    <cfRule type="cellIs" dxfId="898" priority="893" operator="lessThan">
      <formula>0</formula>
    </cfRule>
  </conditionalFormatting>
  <conditionalFormatting sqref="O34:P37">
    <cfRule type="cellIs" dxfId="897" priority="892" operator="lessThan">
      <formula>0</formula>
    </cfRule>
  </conditionalFormatting>
  <conditionalFormatting sqref="O34:P37">
    <cfRule type="cellIs" dxfId="896" priority="891" operator="lessThan">
      <formula>0</formula>
    </cfRule>
  </conditionalFormatting>
  <conditionalFormatting sqref="O34:P37">
    <cfRule type="cellIs" dxfId="895" priority="890" operator="lessThan">
      <formula>0</formula>
    </cfRule>
  </conditionalFormatting>
  <conditionalFormatting sqref="O34:R37">
    <cfRule type="cellIs" dxfId="894" priority="889" operator="lessThan">
      <formula>0</formula>
    </cfRule>
  </conditionalFormatting>
  <conditionalFormatting sqref="O34:R37">
    <cfRule type="cellIs" dxfId="893" priority="888" operator="lessThan">
      <formula>0</formula>
    </cfRule>
  </conditionalFormatting>
  <conditionalFormatting sqref="Q34:R37">
    <cfRule type="cellIs" dxfId="892" priority="887" operator="lessThan">
      <formula>0</formula>
    </cfRule>
  </conditionalFormatting>
  <conditionalFormatting sqref="O34:P37">
    <cfRule type="cellIs" dxfId="891" priority="886" operator="lessThan">
      <formula>0</formula>
    </cfRule>
  </conditionalFormatting>
  <conditionalFormatting sqref="O34:R37">
    <cfRule type="cellIs" dxfId="890" priority="885" operator="lessThan">
      <formula>0</formula>
    </cfRule>
  </conditionalFormatting>
  <conditionalFormatting sqref="O39:R54">
    <cfRule type="cellIs" dxfId="889" priority="884" operator="lessThan">
      <formula>0</formula>
    </cfRule>
  </conditionalFormatting>
  <conditionalFormatting sqref="O39:R54">
    <cfRule type="cellIs" dxfId="888" priority="883" operator="lessThan">
      <formula>0</formula>
    </cfRule>
  </conditionalFormatting>
  <conditionalFormatting sqref="Q39:R54">
    <cfRule type="cellIs" dxfId="887" priority="882" operator="lessThan">
      <formula>0</formula>
    </cfRule>
  </conditionalFormatting>
  <conditionalFormatting sqref="Q39:R54">
    <cfRule type="cellIs" dxfId="886" priority="881" operator="lessThan">
      <formula>0</formula>
    </cfRule>
  </conditionalFormatting>
  <conditionalFormatting sqref="Q39:R54">
    <cfRule type="cellIs" dxfId="885" priority="880" operator="lessThan">
      <formula>0</formula>
    </cfRule>
  </conditionalFormatting>
  <conditionalFormatting sqref="Q39:R54">
    <cfRule type="cellIs" dxfId="884" priority="879" operator="lessThan">
      <formula>0</formula>
    </cfRule>
  </conditionalFormatting>
  <conditionalFormatting sqref="Q39:R54">
    <cfRule type="cellIs" dxfId="883" priority="878" operator="lessThan">
      <formula>0</formula>
    </cfRule>
  </conditionalFormatting>
  <conditionalFormatting sqref="O39:P54">
    <cfRule type="cellIs" dxfId="882" priority="877" operator="lessThan">
      <formula>0</formula>
    </cfRule>
  </conditionalFormatting>
  <conditionalFormatting sqref="O39:P54">
    <cfRule type="cellIs" dxfId="881" priority="876" operator="lessThan">
      <formula>0</formula>
    </cfRule>
  </conditionalFormatting>
  <conditionalFormatting sqref="O39:P54">
    <cfRule type="cellIs" dxfId="880" priority="875" operator="lessThan">
      <formula>0</formula>
    </cfRule>
  </conditionalFormatting>
  <conditionalFormatting sqref="O39:P54">
    <cfRule type="cellIs" dxfId="879" priority="874" operator="lessThan">
      <formula>0</formula>
    </cfRule>
  </conditionalFormatting>
  <conditionalFormatting sqref="O39:P54">
    <cfRule type="cellIs" dxfId="878" priority="873" operator="lessThan">
      <formula>0</formula>
    </cfRule>
  </conditionalFormatting>
  <conditionalFormatting sqref="O39:R54">
    <cfRule type="cellIs" dxfId="877" priority="872" operator="lessThan">
      <formula>0</formula>
    </cfRule>
  </conditionalFormatting>
  <conditionalFormatting sqref="O39:R54">
    <cfRule type="cellIs" dxfId="876" priority="871" operator="lessThan">
      <formula>0</formula>
    </cfRule>
  </conditionalFormatting>
  <conditionalFormatting sqref="Q39:R54">
    <cfRule type="cellIs" dxfId="875" priority="870" operator="lessThan">
      <formula>0</formula>
    </cfRule>
  </conditionalFormatting>
  <conditionalFormatting sqref="Q39:R54">
    <cfRule type="cellIs" dxfId="874" priority="869" operator="lessThan">
      <formula>0</formula>
    </cfRule>
  </conditionalFormatting>
  <conditionalFormatting sqref="Q39:R54">
    <cfRule type="cellIs" dxfId="873" priority="868" operator="lessThan">
      <formula>0</formula>
    </cfRule>
  </conditionalFormatting>
  <conditionalFormatting sqref="O39:P54">
    <cfRule type="cellIs" dxfId="872" priority="867" operator="lessThan">
      <formula>0</formula>
    </cfRule>
  </conditionalFormatting>
  <conditionalFormatting sqref="O39:P54">
    <cfRule type="cellIs" dxfId="871" priority="866" operator="lessThan">
      <formula>0</formula>
    </cfRule>
  </conditionalFormatting>
  <conditionalFormatting sqref="O39:P54">
    <cfRule type="cellIs" dxfId="870" priority="865" operator="lessThan">
      <formula>0</formula>
    </cfRule>
  </conditionalFormatting>
  <conditionalFormatting sqref="O39:R54">
    <cfRule type="cellIs" dxfId="869" priority="864" operator="lessThan">
      <formula>0</formula>
    </cfRule>
  </conditionalFormatting>
  <conditionalFormatting sqref="O39:R54">
    <cfRule type="cellIs" dxfId="868" priority="863" operator="lessThan">
      <formula>0</formula>
    </cfRule>
  </conditionalFormatting>
  <conditionalFormatting sqref="Q39:R54">
    <cfRule type="cellIs" dxfId="867" priority="862" operator="lessThan">
      <formula>0</formula>
    </cfRule>
  </conditionalFormatting>
  <conditionalFormatting sqref="O39:P54">
    <cfRule type="cellIs" dxfId="866" priority="861" operator="lessThan">
      <formula>0</formula>
    </cfRule>
  </conditionalFormatting>
  <conditionalFormatting sqref="O39:R54">
    <cfRule type="cellIs" dxfId="865" priority="860" operator="lessThan">
      <formula>0</formula>
    </cfRule>
  </conditionalFormatting>
  <conditionalFormatting sqref="O56:R60">
    <cfRule type="cellIs" dxfId="864" priority="859" operator="lessThan">
      <formula>0</formula>
    </cfRule>
  </conditionalFormatting>
  <conditionalFormatting sqref="O56:R60">
    <cfRule type="cellIs" dxfId="863" priority="858" operator="lessThan">
      <formula>0</formula>
    </cfRule>
  </conditionalFormatting>
  <conditionalFormatting sqref="Q56:R60">
    <cfRule type="cellIs" dxfId="862" priority="857" operator="lessThan">
      <formula>0</formula>
    </cfRule>
  </conditionalFormatting>
  <conditionalFormatting sqref="Q56:R60">
    <cfRule type="cellIs" dxfId="861" priority="856" operator="lessThan">
      <formula>0</formula>
    </cfRule>
  </conditionalFormatting>
  <conditionalFormatting sqref="Q56:R60">
    <cfRule type="cellIs" dxfId="860" priority="855" operator="lessThan">
      <formula>0</formula>
    </cfRule>
  </conditionalFormatting>
  <conditionalFormatting sqref="Q56:R60">
    <cfRule type="cellIs" dxfId="859" priority="854" operator="lessThan">
      <formula>0</formula>
    </cfRule>
  </conditionalFormatting>
  <conditionalFormatting sqref="Q56:R60">
    <cfRule type="cellIs" dxfId="858" priority="853" operator="lessThan">
      <formula>0</formula>
    </cfRule>
  </conditionalFormatting>
  <conditionalFormatting sqref="Q56:R60">
    <cfRule type="cellIs" dxfId="857" priority="852" operator="lessThan">
      <formula>0</formula>
    </cfRule>
  </conditionalFormatting>
  <conditionalFormatting sqref="Q56:R60">
    <cfRule type="cellIs" dxfId="856" priority="851" operator="lessThan">
      <formula>0</formula>
    </cfRule>
  </conditionalFormatting>
  <conditionalFormatting sqref="O56:P60">
    <cfRule type="cellIs" dxfId="855" priority="850" operator="lessThan">
      <formula>0</formula>
    </cfRule>
  </conditionalFormatting>
  <conditionalFormatting sqref="O56:P60">
    <cfRule type="cellIs" dxfId="854" priority="849" operator="lessThan">
      <formula>0</formula>
    </cfRule>
  </conditionalFormatting>
  <conditionalFormatting sqref="O56:P60">
    <cfRule type="cellIs" dxfId="853" priority="848" operator="lessThan">
      <formula>0</formula>
    </cfRule>
  </conditionalFormatting>
  <conditionalFormatting sqref="O56:P60">
    <cfRule type="cellIs" dxfId="852" priority="847" operator="lessThan">
      <formula>0</formula>
    </cfRule>
  </conditionalFormatting>
  <conditionalFormatting sqref="O56:P60">
    <cfRule type="cellIs" dxfId="851" priority="846" operator="lessThan">
      <formula>0</formula>
    </cfRule>
  </conditionalFormatting>
  <conditionalFormatting sqref="O56:P60">
    <cfRule type="cellIs" dxfId="850" priority="845" operator="lessThan">
      <formula>0</formula>
    </cfRule>
  </conditionalFormatting>
  <conditionalFormatting sqref="O56:P60">
    <cfRule type="cellIs" dxfId="849" priority="844" operator="lessThan">
      <formula>0</formula>
    </cfRule>
  </conditionalFormatting>
  <conditionalFormatting sqref="O56:R60">
    <cfRule type="cellIs" dxfId="848" priority="843" operator="lessThan">
      <formula>0</formula>
    </cfRule>
  </conditionalFormatting>
  <conditionalFormatting sqref="O56:R60">
    <cfRule type="cellIs" dxfId="847" priority="842" operator="lessThan">
      <formula>0</formula>
    </cfRule>
  </conditionalFormatting>
  <conditionalFormatting sqref="Q56:R60">
    <cfRule type="cellIs" dxfId="846" priority="841" operator="lessThan">
      <formula>0</formula>
    </cfRule>
  </conditionalFormatting>
  <conditionalFormatting sqref="Q56:R60">
    <cfRule type="cellIs" dxfId="845" priority="840" operator="lessThan">
      <formula>0</formula>
    </cfRule>
  </conditionalFormatting>
  <conditionalFormatting sqref="Q56:R60">
    <cfRule type="cellIs" dxfId="844" priority="839" operator="lessThan">
      <formula>0</formula>
    </cfRule>
  </conditionalFormatting>
  <conditionalFormatting sqref="Q56:R60">
    <cfRule type="cellIs" dxfId="843" priority="838" operator="lessThan">
      <formula>0</formula>
    </cfRule>
  </conditionalFormatting>
  <conditionalFormatting sqref="Q56:R60">
    <cfRule type="cellIs" dxfId="842" priority="837" operator="lessThan">
      <formula>0</formula>
    </cfRule>
  </conditionalFormatting>
  <conditionalFormatting sqref="O56:P60">
    <cfRule type="cellIs" dxfId="841" priority="836" operator="lessThan">
      <formula>0</formula>
    </cfRule>
  </conditionalFormatting>
  <conditionalFormatting sqref="O56:P60">
    <cfRule type="cellIs" dxfId="840" priority="835" operator="lessThan">
      <formula>0</formula>
    </cfRule>
  </conditionalFormatting>
  <conditionalFormatting sqref="O56:P60">
    <cfRule type="cellIs" dxfId="839" priority="834" operator="lessThan">
      <formula>0</formula>
    </cfRule>
  </conditionalFormatting>
  <conditionalFormatting sqref="O56:P60">
    <cfRule type="cellIs" dxfId="838" priority="833" operator="lessThan">
      <formula>0</formula>
    </cfRule>
  </conditionalFormatting>
  <conditionalFormatting sqref="O56:P60">
    <cfRule type="cellIs" dxfId="837" priority="832" operator="lessThan">
      <formula>0</formula>
    </cfRule>
  </conditionalFormatting>
  <conditionalFormatting sqref="O56:R60">
    <cfRule type="cellIs" dxfId="836" priority="831" operator="lessThan">
      <formula>0</formula>
    </cfRule>
  </conditionalFormatting>
  <conditionalFormatting sqref="O56:R60">
    <cfRule type="cellIs" dxfId="835" priority="830" operator="lessThan">
      <formula>0</formula>
    </cfRule>
  </conditionalFormatting>
  <conditionalFormatting sqref="Q56:R60">
    <cfRule type="cellIs" dxfId="834" priority="829" operator="lessThan">
      <formula>0</formula>
    </cfRule>
  </conditionalFormatting>
  <conditionalFormatting sqref="Q56:R60">
    <cfRule type="cellIs" dxfId="833" priority="828" operator="lessThan">
      <formula>0</formula>
    </cfRule>
  </conditionalFormatting>
  <conditionalFormatting sqref="Q56:R60">
    <cfRule type="cellIs" dxfId="832" priority="827" operator="lessThan">
      <formula>0</formula>
    </cfRule>
  </conditionalFormatting>
  <conditionalFormatting sqref="O56:P60">
    <cfRule type="cellIs" dxfId="831" priority="826" operator="lessThan">
      <formula>0</formula>
    </cfRule>
  </conditionalFormatting>
  <conditionalFormatting sqref="O56:P60">
    <cfRule type="cellIs" dxfId="830" priority="825" operator="lessThan">
      <formula>0</formula>
    </cfRule>
  </conditionalFormatting>
  <conditionalFormatting sqref="O56:P60">
    <cfRule type="cellIs" dxfId="829" priority="824" operator="lessThan">
      <formula>0</formula>
    </cfRule>
  </conditionalFormatting>
  <conditionalFormatting sqref="O56:R60">
    <cfRule type="cellIs" dxfId="828" priority="823" operator="lessThan">
      <formula>0</formula>
    </cfRule>
  </conditionalFormatting>
  <conditionalFormatting sqref="O56:R60">
    <cfRule type="cellIs" dxfId="827" priority="822" operator="lessThan">
      <formula>0</formula>
    </cfRule>
  </conditionalFormatting>
  <conditionalFormatting sqref="Q56:R60">
    <cfRule type="cellIs" dxfId="826" priority="821" operator="lessThan">
      <formula>0</formula>
    </cfRule>
  </conditionalFormatting>
  <conditionalFormatting sqref="O56:P60">
    <cfRule type="cellIs" dxfId="825" priority="820" operator="lessThan">
      <formula>0</formula>
    </cfRule>
  </conditionalFormatting>
  <conditionalFormatting sqref="O56:R60">
    <cfRule type="cellIs" dxfId="824" priority="819" operator="lessThan">
      <formula>0</formula>
    </cfRule>
  </conditionalFormatting>
  <conditionalFormatting sqref="U60:AJ60 T4:AJ59">
    <cfRule type="cellIs" dxfId="823" priority="818" operator="lessThan">
      <formula>0</formula>
    </cfRule>
  </conditionalFormatting>
  <conditionalFormatting sqref="T24:T25 U25:AJ25">
    <cfRule type="cellIs" dxfId="822" priority="817" operator="lessThan">
      <formula>0</formula>
    </cfRule>
  </conditionalFormatting>
  <conditionalFormatting sqref="T51:T52 T58:T59 T9:AI10 T4:AI5 AF6:AI8 AJ4:AJ10 AF11:AJ32 T55:AJ55 AF39:AJ54 AF56:AJ60 T33:AJ38">
    <cfRule type="cellIs" dxfId="821" priority="816" operator="lessThan">
      <formula>0</formula>
    </cfRule>
  </conditionalFormatting>
  <conditionalFormatting sqref="T20:T23 U20:AE22">
    <cfRule type="cellIs" dxfId="820" priority="815" operator="lessThan">
      <formula>0</formula>
    </cfRule>
  </conditionalFormatting>
  <conditionalFormatting sqref="U32:AI32 T26:AE32">
    <cfRule type="cellIs" dxfId="819" priority="814" operator="lessThan">
      <formula>0</formula>
    </cfRule>
  </conditionalFormatting>
  <conditionalFormatting sqref="T6:AI8">
    <cfRule type="cellIs" dxfId="818" priority="813" operator="lessThan">
      <formula>0</formula>
    </cfRule>
  </conditionalFormatting>
  <conditionalFormatting sqref="T17:T19 U19:AE19">
    <cfRule type="cellIs" dxfId="817" priority="812" operator="lessThan">
      <formula>0</formula>
    </cfRule>
  </conditionalFormatting>
  <conditionalFormatting sqref="T11:T24 U19:AE22">
    <cfRule type="cellIs" dxfId="816" priority="811" operator="lessThan">
      <formula>0</formula>
    </cfRule>
  </conditionalFormatting>
  <conditionalFormatting sqref="T56:T59 U56:AE57">
    <cfRule type="cellIs" dxfId="815" priority="810" operator="lessThan">
      <formula>0</formula>
    </cfRule>
  </conditionalFormatting>
  <conditionalFormatting sqref="T53">
    <cfRule type="cellIs" dxfId="814" priority="809" operator="lessThan">
      <formula>0</formula>
    </cfRule>
  </conditionalFormatting>
  <conditionalFormatting sqref="T54">
    <cfRule type="cellIs" dxfId="813" priority="808" operator="lessThan">
      <formula>0</formula>
    </cfRule>
  </conditionalFormatting>
  <conditionalFormatting sqref="T39:AE54">
    <cfRule type="cellIs" dxfId="812" priority="807" operator="lessThan">
      <formula>0</formula>
    </cfRule>
  </conditionalFormatting>
  <conditionalFormatting sqref="T50">
    <cfRule type="cellIs" dxfId="811" priority="806" operator="lessThan">
      <formula>0</formula>
    </cfRule>
  </conditionalFormatting>
  <conditionalFormatting sqref="T11:AI21 AF22:AI24 T12:AE24">
    <cfRule type="cellIs" dxfId="810" priority="805" operator="lessThan">
      <formula>0</formula>
    </cfRule>
  </conditionalFormatting>
  <conditionalFormatting sqref="T22:AE22">
    <cfRule type="cellIs" dxfId="809" priority="804" operator="lessThan">
      <formula>0</formula>
    </cfRule>
  </conditionalFormatting>
  <conditionalFormatting sqref="T22:AI22">
    <cfRule type="cellIs" dxfId="808" priority="803" operator="lessThan">
      <formula>0</formula>
    </cfRule>
  </conditionalFormatting>
  <conditionalFormatting sqref="T23">
    <cfRule type="cellIs" dxfId="807" priority="802" operator="lessThan">
      <formula>0</formula>
    </cfRule>
  </conditionalFormatting>
  <conditionalFormatting sqref="T23:AI23">
    <cfRule type="cellIs" dxfId="806" priority="801" operator="lessThan">
      <formula>0</formula>
    </cfRule>
  </conditionalFormatting>
  <conditionalFormatting sqref="T24">
    <cfRule type="cellIs" dxfId="805" priority="800" operator="lessThan">
      <formula>0</formula>
    </cfRule>
  </conditionalFormatting>
  <conditionalFormatting sqref="T24">
    <cfRule type="cellIs" dxfId="804" priority="799" operator="lessThan">
      <formula>0</formula>
    </cfRule>
  </conditionalFormatting>
  <conditionalFormatting sqref="T24:AI24 U23">
    <cfRule type="cellIs" dxfId="803" priority="798" operator="lessThan">
      <formula>0</formula>
    </cfRule>
  </conditionalFormatting>
  <conditionalFormatting sqref="T26:AE32">
    <cfRule type="cellIs" dxfId="802" priority="797" operator="lessThan">
      <formula>0</formula>
    </cfRule>
  </conditionalFormatting>
  <conditionalFormatting sqref="T26:AE32">
    <cfRule type="cellIs" dxfId="801" priority="796" operator="lessThan">
      <formula>0</formula>
    </cfRule>
  </conditionalFormatting>
  <conditionalFormatting sqref="T26:AI32">
    <cfRule type="cellIs" dxfId="800" priority="795" operator="lessThan">
      <formula>0</formula>
    </cfRule>
  </conditionalFormatting>
  <conditionalFormatting sqref="T34:AI37">
    <cfRule type="cellIs" dxfId="799" priority="794" operator="lessThan">
      <formula>0</formula>
    </cfRule>
  </conditionalFormatting>
  <conditionalFormatting sqref="T34:AE37">
    <cfRule type="cellIs" dxfId="798" priority="793" operator="lessThan">
      <formula>0</formula>
    </cfRule>
  </conditionalFormatting>
  <conditionalFormatting sqref="T34:AE37">
    <cfRule type="cellIs" dxfId="797" priority="792" operator="lessThan">
      <formula>0</formula>
    </cfRule>
  </conditionalFormatting>
  <conditionalFormatting sqref="T34:AI37">
    <cfRule type="cellIs" dxfId="796" priority="791" operator="lessThan">
      <formula>0</formula>
    </cfRule>
  </conditionalFormatting>
  <conditionalFormatting sqref="T39:AE54">
    <cfRule type="cellIs" dxfId="795" priority="790" operator="lessThan">
      <formula>0</formula>
    </cfRule>
  </conditionalFormatting>
  <conditionalFormatting sqref="T39:AI54">
    <cfRule type="cellIs" dxfId="794" priority="789" operator="lessThan">
      <formula>0</formula>
    </cfRule>
  </conditionalFormatting>
  <conditionalFormatting sqref="T39:AE54">
    <cfRule type="cellIs" dxfId="793" priority="788" operator="lessThan">
      <formula>0</formula>
    </cfRule>
  </conditionalFormatting>
  <conditionalFormatting sqref="T39:AE54">
    <cfRule type="cellIs" dxfId="792" priority="787" operator="lessThan">
      <formula>0</formula>
    </cfRule>
  </conditionalFormatting>
  <conditionalFormatting sqref="T39:AI54">
    <cfRule type="cellIs" dxfId="791" priority="786" operator="lessThan">
      <formula>0</formula>
    </cfRule>
  </conditionalFormatting>
  <conditionalFormatting sqref="T56:T59 U56:AE57">
    <cfRule type="cellIs" dxfId="790" priority="785" operator="lessThan">
      <formula>0</formula>
    </cfRule>
  </conditionalFormatting>
  <conditionalFormatting sqref="T56:T59 U56:AE57">
    <cfRule type="cellIs" dxfId="789" priority="784" operator="lessThan">
      <formula>0</formula>
    </cfRule>
  </conditionalFormatting>
  <conditionalFormatting sqref="T56:T59 U56:AE57">
    <cfRule type="cellIs" dxfId="788" priority="783" operator="lessThan">
      <formula>0</formula>
    </cfRule>
  </conditionalFormatting>
  <conditionalFormatting sqref="U60:AI60 T56:AI59">
    <cfRule type="cellIs" dxfId="787" priority="782" operator="lessThan">
      <formula>0</formula>
    </cfRule>
  </conditionalFormatting>
  <conditionalFormatting sqref="T56:T59 U56:AE57">
    <cfRule type="cellIs" dxfId="786" priority="781" operator="lessThan">
      <formula>0</formula>
    </cfRule>
  </conditionalFormatting>
  <conditionalFormatting sqref="T56:T59 U56:AE57">
    <cfRule type="cellIs" dxfId="785" priority="780" operator="lessThan">
      <formula>0</formula>
    </cfRule>
  </conditionalFormatting>
  <conditionalFormatting sqref="U60:AI60 T56:AI59">
    <cfRule type="cellIs" dxfId="784" priority="779" operator="lessThan">
      <formula>0</formula>
    </cfRule>
  </conditionalFormatting>
  <conditionalFormatting sqref="T4:AJ4">
    <cfRule type="cellIs" dxfId="783" priority="778" operator="lessThan">
      <formula>0</formula>
    </cfRule>
  </conditionalFormatting>
  <conditionalFormatting sqref="T4:AJ4">
    <cfRule type="cellIs" dxfId="782" priority="777" operator="lessThan">
      <formula>0</formula>
    </cfRule>
  </conditionalFormatting>
  <conditionalFormatting sqref="AH11:AI24">
    <cfRule type="cellIs" dxfId="781" priority="776" operator="lessThan">
      <formula>0</formula>
    </cfRule>
  </conditionalFormatting>
  <conditionalFormatting sqref="AH26:AI32">
    <cfRule type="cellIs" dxfId="780" priority="775" operator="lessThan">
      <formula>0</formula>
    </cfRule>
  </conditionalFormatting>
  <conditionalFormatting sqref="AH26:AI32">
    <cfRule type="cellIs" dxfId="779" priority="774" operator="lessThan">
      <formula>0</formula>
    </cfRule>
  </conditionalFormatting>
  <conditionalFormatting sqref="AH26:AI32">
    <cfRule type="cellIs" dxfId="778" priority="773" operator="lessThan">
      <formula>0</formula>
    </cfRule>
  </conditionalFormatting>
  <conditionalFormatting sqref="AH34:AI37">
    <cfRule type="cellIs" dxfId="777" priority="772" operator="lessThan">
      <formula>0</formula>
    </cfRule>
  </conditionalFormatting>
  <conditionalFormatting sqref="AH34:AI37">
    <cfRule type="cellIs" dxfId="776" priority="771" operator="lessThan">
      <formula>0</formula>
    </cfRule>
  </conditionalFormatting>
  <conditionalFormatting sqref="AH34:AI37">
    <cfRule type="cellIs" dxfId="775" priority="770" operator="lessThan">
      <formula>0</formula>
    </cfRule>
  </conditionalFormatting>
  <conditionalFormatting sqref="AH34:AI37">
    <cfRule type="cellIs" dxfId="774" priority="769" operator="lessThan">
      <formula>0</formula>
    </cfRule>
  </conditionalFormatting>
  <conditionalFormatting sqref="AH34:AI37">
    <cfRule type="cellIs" dxfId="773" priority="768" operator="lessThan">
      <formula>0</formula>
    </cfRule>
  </conditionalFormatting>
  <conditionalFormatting sqref="AH39:AI54">
    <cfRule type="cellIs" dxfId="772" priority="767" operator="lessThan">
      <formula>0</formula>
    </cfRule>
  </conditionalFormatting>
  <conditionalFormatting sqref="AH39:AI54">
    <cfRule type="cellIs" dxfId="771" priority="766" operator="lessThan">
      <formula>0</formula>
    </cfRule>
  </conditionalFormatting>
  <conditionalFormatting sqref="AH39:AI54">
    <cfRule type="cellIs" dxfId="770" priority="765" operator="lessThan">
      <formula>0</formula>
    </cfRule>
  </conditionalFormatting>
  <conditionalFormatting sqref="AH39:AI54">
    <cfRule type="cellIs" dxfId="769" priority="764" operator="lessThan">
      <formula>0</formula>
    </cfRule>
  </conditionalFormatting>
  <conditionalFormatting sqref="AH39:AI54">
    <cfRule type="cellIs" dxfId="768" priority="763" operator="lessThan">
      <formula>0</formula>
    </cfRule>
  </conditionalFormatting>
  <conditionalFormatting sqref="AH39:AI54">
    <cfRule type="cellIs" dxfId="767" priority="762" operator="lessThan">
      <formula>0</formula>
    </cfRule>
  </conditionalFormatting>
  <conditionalFormatting sqref="AH39:AI54">
    <cfRule type="cellIs" dxfId="766" priority="761" operator="lessThan">
      <formula>0</formula>
    </cfRule>
  </conditionalFormatting>
  <conditionalFormatting sqref="AH56:AI60">
    <cfRule type="cellIs" dxfId="765" priority="760" operator="lessThan">
      <formula>0</formula>
    </cfRule>
  </conditionalFormatting>
  <conditionalFormatting sqref="AH56:AI60">
    <cfRule type="cellIs" dxfId="764" priority="759" operator="lessThan">
      <formula>0</formula>
    </cfRule>
  </conditionalFormatting>
  <conditionalFormatting sqref="AH56:AI60">
    <cfRule type="cellIs" dxfId="763" priority="758" operator="lessThan">
      <formula>0</formula>
    </cfRule>
  </conditionalFormatting>
  <conditionalFormatting sqref="AH56:AI60">
    <cfRule type="cellIs" dxfId="762" priority="757" operator="lessThan">
      <formula>0</formula>
    </cfRule>
  </conditionalFormatting>
  <conditionalFormatting sqref="AH56:AI60">
    <cfRule type="cellIs" dxfId="761" priority="756" operator="lessThan">
      <formula>0</formula>
    </cfRule>
  </conditionalFormatting>
  <conditionalFormatting sqref="AH56:AI60">
    <cfRule type="cellIs" dxfId="760" priority="755" operator="lessThan">
      <formula>0</formula>
    </cfRule>
  </conditionalFormatting>
  <conditionalFormatting sqref="AH56:AI60">
    <cfRule type="cellIs" dxfId="759" priority="754" operator="lessThan">
      <formula>0</formula>
    </cfRule>
  </conditionalFormatting>
  <conditionalFormatting sqref="AH56:AI60">
    <cfRule type="cellIs" dxfId="758" priority="753" operator="lessThan">
      <formula>0</formula>
    </cfRule>
  </conditionalFormatting>
  <conditionalFormatting sqref="AH56:AI60">
    <cfRule type="cellIs" dxfId="757" priority="752" operator="lessThan">
      <formula>0</formula>
    </cfRule>
  </conditionalFormatting>
  <conditionalFormatting sqref="AF11:AG24">
    <cfRule type="cellIs" dxfId="756" priority="751" operator="lessThan">
      <formula>0</formula>
    </cfRule>
  </conditionalFormatting>
  <conditionalFormatting sqref="AF26:AG32">
    <cfRule type="cellIs" dxfId="755" priority="750" operator="lessThan">
      <formula>0</formula>
    </cfRule>
  </conditionalFormatting>
  <conditionalFormatting sqref="AF26:AG32">
    <cfRule type="cellIs" dxfId="754" priority="749" operator="lessThan">
      <formula>0</formula>
    </cfRule>
  </conditionalFormatting>
  <conditionalFormatting sqref="AF26:AG32">
    <cfRule type="cellIs" dxfId="753" priority="748" operator="lessThan">
      <formula>0</formula>
    </cfRule>
  </conditionalFormatting>
  <conditionalFormatting sqref="AF34:AG37">
    <cfRule type="cellIs" dxfId="752" priority="747" operator="lessThan">
      <formula>0</formula>
    </cfRule>
  </conditionalFormatting>
  <conditionalFormatting sqref="AF34:AG37">
    <cfRule type="cellIs" dxfId="751" priority="746" operator="lessThan">
      <formula>0</formula>
    </cfRule>
  </conditionalFormatting>
  <conditionalFormatting sqref="AF34:AG37">
    <cfRule type="cellIs" dxfId="750" priority="745" operator="lessThan">
      <formula>0</formula>
    </cfRule>
  </conditionalFormatting>
  <conditionalFormatting sqref="AF34:AG37">
    <cfRule type="cellIs" dxfId="749" priority="744" operator="lessThan">
      <formula>0</formula>
    </cfRule>
  </conditionalFormatting>
  <conditionalFormatting sqref="AF34:AG37">
    <cfRule type="cellIs" dxfId="748" priority="743" operator="lessThan">
      <formula>0</formula>
    </cfRule>
  </conditionalFormatting>
  <conditionalFormatting sqref="AF39:AG54">
    <cfRule type="cellIs" dxfId="747" priority="742" operator="lessThan">
      <formula>0</formula>
    </cfRule>
  </conditionalFormatting>
  <conditionalFormatting sqref="AF39:AG54">
    <cfRule type="cellIs" dxfId="746" priority="741" operator="lessThan">
      <formula>0</formula>
    </cfRule>
  </conditionalFormatting>
  <conditionalFormatting sqref="AF39:AG54">
    <cfRule type="cellIs" dxfId="745" priority="740" operator="lessThan">
      <formula>0</formula>
    </cfRule>
  </conditionalFormatting>
  <conditionalFormatting sqref="AF39:AG54">
    <cfRule type="cellIs" dxfId="744" priority="739" operator="lessThan">
      <formula>0</formula>
    </cfRule>
  </conditionalFormatting>
  <conditionalFormatting sqref="AF39:AG54">
    <cfRule type="cellIs" dxfId="743" priority="738" operator="lessThan">
      <formula>0</formula>
    </cfRule>
  </conditionalFormatting>
  <conditionalFormatting sqref="AF39:AG54">
    <cfRule type="cellIs" dxfId="742" priority="737" operator="lessThan">
      <formula>0</formula>
    </cfRule>
  </conditionalFormatting>
  <conditionalFormatting sqref="AF39:AG54">
    <cfRule type="cellIs" dxfId="741" priority="736" operator="lessThan">
      <formula>0</formula>
    </cfRule>
  </conditionalFormatting>
  <conditionalFormatting sqref="AF56:AG60">
    <cfRule type="cellIs" dxfId="740" priority="735" operator="lessThan">
      <formula>0</formula>
    </cfRule>
  </conditionalFormatting>
  <conditionalFormatting sqref="AF56:AG60">
    <cfRule type="cellIs" dxfId="739" priority="734" operator="lessThan">
      <formula>0</formula>
    </cfRule>
  </conditionalFormatting>
  <conditionalFormatting sqref="AF56:AG60">
    <cfRule type="cellIs" dxfId="738" priority="733" operator="lessThan">
      <formula>0</formula>
    </cfRule>
  </conditionalFormatting>
  <conditionalFormatting sqref="AF56:AG60">
    <cfRule type="cellIs" dxfId="737" priority="732" operator="lessThan">
      <formula>0</formula>
    </cfRule>
  </conditionalFormatting>
  <conditionalFormatting sqref="AF56:AG60">
    <cfRule type="cellIs" dxfId="736" priority="731" operator="lessThan">
      <formula>0</formula>
    </cfRule>
  </conditionalFormatting>
  <conditionalFormatting sqref="AF56:AG60">
    <cfRule type="cellIs" dxfId="735" priority="730" operator="lessThan">
      <formula>0</formula>
    </cfRule>
  </conditionalFormatting>
  <conditionalFormatting sqref="AF56:AG60">
    <cfRule type="cellIs" dxfId="734" priority="729" operator="lessThan">
      <formula>0</formula>
    </cfRule>
  </conditionalFormatting>
  <conditionalFormatting sqref="AF56:AG60">
    <cfRule type="cellIs" dxfId="733" priority="728" operator="lessThan">
      <formula>0</formula>
    </cfRule>
  </conditionalFormatting>
  <conditionalFormatting sqref="AF56:AG60">
    <cfRule type="cellIs" dxfId="732" priority="727" operator="lessThan">
      <formula>0</formula>
    </cfRule>
  </conditionalFormatting>
  <conditionalFormatting sqref="AF11:AI24">
    <cfRule type="cellIs" dxfId="731" priority="726" operator="lessThan">
      <formula>0</formula>
    </cfRule>
  </conditionalFormatting>
  <conditionalFormatting sqref="AF26:AI32">
    <cfRule type="cellIs" dxfId="730" priority="725" operator="lessThan">
      <formula>0</formula>
    </cfRule>
  </conditionalFormatting>
  <conditionalFormatting sqref="AF26:AI32">
    <cfRule type="cellIs" dxfId="729" priority="724" operator="lessThan">
      <formula>0</formula>
    </cfRule>
  </conditionalFormatting>
  <conditionalFormatting sqref="AH26:AI32">
    <cfRule type="cellIs" dxfId="728" priority="723" operator="lessThan">
      <formula>0</formula>
    </cfRule>
  </conditionalFormatting>
  <conditionalFormatting sqref="AF26:AG32">
    <cfRule type="cellIs" dxfId="727" priority="722" operator="lessThan">
      <formula>0</formula>
    </cfRule>
  </conditionalFormatting>
  <conditionalFormatting sqref="AF26:AI32">
    <cfRule type="cellIs" dxfId="726" priority="721" operator="lessThan">
      <formula>0</formula>
    </cfRule>
  </conditionalFormatting>
  <conditionalFormatting sqref="AF34:AI37">
    <cfRule type="cellIs" dxfId="725" priority="720" operator="lessThan">
      <formula>0</formula>
    </cfRule>
  </conditionalFormatting>
  <conditionalFormatting sqref="AF34:AI37">
    <cfRule type="cellIs" dxfId="724" priority="719" operator="lessThan">
      <formula>0</formula>
    </cfRule>
  </conditionalFormatting>
  <conditionalFormatting sqref="AH34:AI37">
    <cfRule type="cellIs" dxfId="723" priority="718" operator="lessThan">
      <formula>0</formula>
    </cfRule>
  </conditionalFormatting>
  <conditionalFormatting sqref="AH34:AI37">
    <cfRule type="cellIs" dxfId="722" priority="717" operator="lessThan">
      <formula>0</formula>
    </cfRule>
  </conditionalFormatting>
  <conditionalFormatting sqref="AH34:AI37">
    <cfRule type="cellIs" dxfId="721" priority="716" operator="lessThan">
      <formula>0</formula>
    </cfRule>
  </conditionalFormatting>
  <conditionalFormatting sqref="AF34:AG37">
    <cfRule type="cellIs" dxfId="720" priority="715" operator="lessThan">
      <formula>0</formula>
    </cfRule>
  </conditionalFormatting>
  <conditionalFormatting sqref="AF34:AG37">
    <cfRule type="cellIs" dxfId="719" priority="714" operator="lessThan">
      <formula>0</formula>
    </cfRule>
  </conditionalFormatting>
  <conditionalFormatting sqref="AF34:AG37">
    <cfRule type="cellIs" dxfId="718" priority="713" operator="lessThan">
      <formula>0</formula>
    </cfRule>
  </conditionalFormatting>
  <conditionalFormatting sqref="AF34:AI37">
    <cfRule type="cellIs" dxfId="717" priority="712" operator="lessThan">
      <formula>0</formula>
    </cfRule>
  </conditionalFormatting>
  <conditionalFormatting sqref="AF34:AI37">
    <cfRule type="cellIs" dxfId="716" priority="711" operator="lessThan">
      <formula>0</formula>
    </cfRule>
  </conditionalFormatting>
  <conditionalFormatting sqref="AH34:AI37">
    <cfRule type="cellIs" dxfId="715" priority="710" operator="lessThan">
      <formula>0</formula>
    </cfRule>
  </conditionalFormatting>
  <conditionalFormatting sqref="AF34:AG37">
    <cfRule type="cellIs" dxfId="714" priority="709" operator="lessThan">
      <formula>0</formula>
    </cfRule>
  </conditionalFormatting>
  <conditionalFormatting sqref="AF34:AI37">
    <cfRule type="cellIs" dxfId="713" priority="708" operator="lessThan">
      <formula>0</formula>
    </cfRule>
  </conditionalFormatting>
  <conditionalFormatting sqref="AF39:AI54">
    <cfRule type="cellIs" dxfId="712" priority="707" operator="lessThan">
      <formula>0</formula>
    </cfRule>
  </conditionalFormatting>
  <conditionalFormatting sqref="AF39:AI54">
    <cfRule type="cellIs" dxfId="711" priority="706" operator="lessThan">
      <formula>0</formula>
    </cfRule>
  </conditionalFormatting>
  <conditionalFormatting sqref="AH39:AI54">
    <cfRule type="cellIs" dxfId="710" priority="705" operator="lessThan">
      <formula>0</formula>
    </cfRule>
  </conditionalFormatting>
  <conditionalFormatting sqref="AH39:AI54">
    <cfRule type="cellIs" dxfId="709" priority="704" operator="lessThan">
      <formula>0</formula>
    </cfRule>
  </conditionalFormatting>
  <conditionalFormatting sqref="AH39:AI54">
    <cfRule type="cellIs" dxfId="708" priority="703" operator="lessThan">
      <formula>0</formula>
    </cfRule>
  </conditionalFormatting>
  <conditionalFormatting sqref="AH39:AI54">
    <cfRule type="cellIs" dxfId="707" priority="702" operator="lessThan">
      <formula>0</formula>
    </cfRule>
  </conditionalFormatting>
  <conditionalFormatting sqref="AH39:AI54">
    <cfRule type="cellIs" dxfId="706" priority="701" operator="lessThan">
      <formula>0</formula>
    </cfRule>
  </conditionalFormatting>
  <conditionalFormatting sqref="AF39:AG54">
    <cfRule type="cellIs" dxfId="705" priority="700" operator="lessThan">
      <formula>0</formula>
    </cfRule>
  </conditionalFormatting>
  <conditionalFormatting sqref="AF39:AG54">
    <cfRule type="cellIs" dxfId="704" priority="699" operator="lessThan">
      <formula>0</formula>
    </cfRule>
  </conditionalFormatting>
  <conditionalFormatting sqref="AF39:AG54">
    <cfRule type="cellIs" dxfId="703" priority="698" operator="lessThan">
      <formula>0</formula>
    </cfRule>
  </conditionalFormatting>
  <conditionalFormatting sqref="AF39:AG54">
    <cfRule type="cellIs" dxfId="702" priority="697" operator="lessThan">
      <formula>0</formula>
    </cfRule>
  </conditionalFormatting>
  <conditionalFormatting sqref="AF39:AG54">
    <cfRule type="cellIs" dxfId="701" priority="696" operator="lessThan">
      <formula>0</formula>
    </cfRule>
  </conditionalFormatting>
  <conditionalFormatting sqref="AF39:AI54">
    <cfRule type="cellIs" dxfId="700" priority="695" operator="lessThan">
      <formula>0</formula>
    </cfRule>
  </conditionalFormatting>
  <conditionalFormatting sqref="AF39:AI54">
    <cfRule type="cellIs" dxfId="699" priority="694" operator="lessThan">
      <formula>0</formula>
    </cfRule>
  </conditionalFormatting>
  <conditionalFormatting sqref="AH39:AI54">
    <cfRule type="cellIs" dxfId="698" priority="693" operator="lessThan">
      <formula>0</formula>
    </cfRule>
  </conditionalFormatting>
  <conditionalFormatting sqref="AH39:AI54">
    <cfRule type="cellIs" dxfId="697" priority="692" operator="lessThan">
      <formula>0</formula>
    </cfRule>
  </conditionalFormatting>
  <conditionalFormatting sqref="AH39:AI54">
    <cfRule type="cellIs" dxfId="696" priority="691" operator="lessThan">
      <formula>0</formula>
    </cfRule>
  </conditionalFormatting>
  <conditionalFormatting sqref="AF39:AG54">
    <cfRule type="cellIs" dxfId="695" priority="690" operator="lessThan">
      <formula>0</formula>
    </cfRule>
  </conditionalFormatting>
  <conditionalFormatting sqref="AF39:AG54">
    <cfRule type="cellIs" dxfId="694" priority="689" operator="lessThan">
      <formula>0</formula>
    </cfRule>
  </conditionalFormatting>
  <conditionalFormatting sqref="AF39:AG54">
    <cfRule type="cellIs" dxfId="693" priority="688" operator="lessThan">
      <formula>0</formula>
    </cfRule>
  </conditionalFormatting>
  <conditionalFormatting sqref="AF39:AI54">
    <cfRule type="cellIs" dxfId="692" priority="687" operator="lessThan">
      <formula>0</formula>
    </cfRule>
  </conditionalFormatting>
  <conditionalFormatting sqref="AF39:AI54">
    <cfRule type="cellIs" dxfId="691" priority="686" operator="lessThan">
      <formula>0</formula>
    </cfRule>
  </conditionalFormatting>
  <conditionalFormatting sqref="AH39:AI54">
    <cfRule type="cellIs" dxfId="690" priority="685" operator="lessThan">
      <formula>0</formula>
    </cfRule>
  </conditionalFormatting>
  <conditionalFormatting sqref="AF39:AG54">
    <cfRule type="cellIs" dxfId="689" priority="684" operator="lessThan">
      <formula>0</formula>
    </cfRule>
  </conditionalFormatting>
  <conditionalFormatting sqref="AF39:AI54">
    <cfRule type="cellIs" dxfId="688" priority="683" operator="lessThan">
      <formula>0</formula>
    </cfRule>
  </conditionalFormatting>
  <conditionalFormatting sqref="AF56:AI60">
    <cfRule type="cellIs" dxfId="687" priority="682" operator="lessThan">
      <formula>0</formula>
    </cfRule>
  </conditionalFormatting>
  <conditionalFormatting sqref="AF56:AI60">
    <cfRule type="cellIs" dxfId="686" priority="681" operator="lessThan">
      <formula>0</formula>
    </cfRule>
  </conditionalFormatting>
  <conditionalFormatting sqref="AH56:AI60">
    <cfRule type="cellIs" dxfId="685" priority="680" operator="lessThan">
      <formula>0</formula>
    </cfRule>
  </conditionalFormatting>
  <conditionalFormatting sqref="AH56:AI60">
    <cfRule type="cellIs" dxfId="684" priority="679" operator="lessThan">
      <formula>0</formula>
    </cfRule>
  </conditionalFormatting>
  <conditionalFormatting sqref="AH56:AI60">
    <cfRule type="cellIs" dxfId="683" priority="678" operator="lessThan">
      <formula>0</formula>
    </cfRule>
  </conditionalFormatting>
  <conditionalFormatting sqref="AH56:AI60">
    <cfRule type="cellIs" dxfId="682" priority="677" operator="lessThan">
      <formula>0</formula>
    </cfRule>
  </conditionalFormatting>
  <conditionalFormatting sqref="AH56:AI60">
    <cfRule type="cellIs" dxfId="681" priority="676" operator="lessThan">
      <formula>0</formula>
    </cfRule>
  </conditionalFormatting>
  <conditionalFormatting sqref="AH56:AI60">
    <cfRule type="cellIs" dxfId="680" priority="675" operator="lessThan">
      <formula>0</formula>
    </cfRule>
  </conditionalFormatting>
  <conditionalFormatting sqref="AH56:AI60">
    <cfRule type="cellIs" dxfId="679" priority="674" operator="lessThan">
      <formula>0</formula>
    </cfRule>
  </conditionalFormatting>
  <conditionalFormatting sqref="AF56:AG60">
    <cfRule type="cellIs" dxfId="678" priority="673" operator="lessThan">
      <formula>0</formula>
    </cfRule>
  </conditionalFormatting>
  <conditionalFormatting sqref="AF56:AG60">
    <cfRule type="cellIs" dxfId="677" priority="672" operator="lessThan">
      <formula>0</formula>
    </cfRule>
  </conditionalFormatting>
  <conditionalFormatting sqref="AF56:AG60">
    <cfRule type="cellIs" dxfId="676" priority="671" operator="lessThan">
      <formula>0</formula>
    </cfRule>
  </conditionalFormatting>
  <conditionalFormatting sqref="AF56:AG60">
    <cfRule type="cellIs" dxfId="675" priority="670" operator="lessThan">
      <formula>0</formula>
    </cfRule>
  </conditionalFormatting>
  <conditionalFormatting sqref="AF56:AG60">
    <cfRule type="cellIs" dxfId="674" priority="669" operator="lessThan">
      <formula>0</formula>
    </cfRule>
  </conditionalFormatting>
  <conditionalFormatting sqref="AF56:AG60">
    <cfRule type="cellIs" dxfId="673" priority="668" operator="lessThan">
      <formula>0</formula>
    </cfRule>
  </conditionalFormatting>
  <conditionalFormatting sqref="AF56:AG60">
    <cfRule type="cellIs" dxfId="672" priority="667" operator="lessThan">
      <formula>0</formula>
    </cfRule>
  </conditionalFormatting>
  <conditionalFormatting sqref="AF56:AI60">
    <cfRule type="cellIs" dxfId="671" priority="666" operator="lessThan">
      <formula>0</formula>
    </cfRule>
  </conditionalFormatting>
  <conditionalFormatting sqref="AF56:AI60">
    <cfRule type="cellIs" dxfId="670" priority="665" operator="lessThan">
      <formula>0</formula>
    </cfRule>
  </conditionalFormatting>
  <conditionalFormatting sqref="AH56:AI60">
    <cfRule type="cellIs" dxfId="669" priority="664" operator="lessThan">
      <formula>0</formula>
    </cfRule>
  </conditionalFormatting>
  <conditionalFormatting sqref="AH56:AI60">
    <cfRule type="cellIs" dxfId="668" priority="663" operator="lessThan">
      <formula>0</formula>
    </cfRule>
  </conditionalFormatting>
  <conditionalFormatting sqref="AH56:AI60">
    <cfRule type="cellIs" dxfId="667" priority="662" operator="lessThan">
      <formula>0</formula>
    </cfRule>
  </conditionalFormatting>
  <conditionalFormatting sqref="AH56:AI60">
    <cfRule type="cellIs" dxfId="666" priority="661" operator="lessThan">
      <formula>0</formula>
    </cfRule>
  </conditionalFormatting>
  <conditionalFormatting sqref="AH56:AI60">
    <cfRule type="cellIs" dxfId="665" priority="660" operator="lessThan">
      <formula>0</formula>
    </cfRule>
  </conditionalFormatting>
  <conditionalFormatting sqref="AF56:AG60">
    <cfRule type="cellIs" dxfId="664" priority="659" operator="lessThan">
      <formula>0</formula>
    </cfRule>
  </conditionalFormatting>
  <conditionalFormatting sqref="AF56:AG60">
    <cfRule type="cellIs" dxfId="663" priority="658" operator="lessThan">
      <formula>0</formula>
    </cfRule>
  </conditionalFormatting>
  <conditionalFormatting sqref="AF56:AG60">
    <cfRule type="cellIs" dxfId="662" priority="657" operator="lessThan">
      <formula>0</formula>
    </cfRule>
  </conditionalFormatting>
  <conditionalFormatting sqref="AF56:AG60">
    <cfRule type="cellIs" dxfId="661" priority="656" operator="lessThan">
      <formula>0</formula>
    </cfRule>
  </conditionalFormatting>
  <conditionalFormatting sqref="AF56:AG60">
    <cfRule type="cellIs" dxfId="660" priority="655" operator="lessThan">
      <formula>0</formula>
    </cfRule>
  </conditionalFormatting>
  <conditionalFormatting sqref="AF56:AI60">
    <cfRule type="cellIs" dxfId="659" priority="654" operator="lessThan">
      <formula>0</formula>
    </cfRule>
  </conditionalFormatting>
  <conditionalFormatting sqref="AF56:AI60">
    <cfRule type="cellIs" dxfId="658" priority="653" operator="lessThan">
      <formula>0</formula>
    </cfRule>
  </conditionalFormatting>
  <conditionalFormatting sqref="AH56:AI60">
    <cfRule type="cellIs" dxfId="657" priority="652" operator="lessThan">
      <formula>0</formula>
    </cfRule>
  </conditionalFormatting>
  <conditionalFormatting sqref="AH56:AI60">
    <cfRule type="cellIs" dxfId="656" priority="651" operator="lessThan">
      <formula>0</formula>
    </cfRule>
  </conditionalFormatting>
  <conditionalFormatting sqref="AH56:AI60">
    <cfRule type="cellIs" dxfId="655" priority="650" operator="lessThan">
      <formula>0</formula>
    </cfRule>
  </conditionalFormatting>
  <conditionalFormatting sqref="AF56:AG60">
    <cfRule type="cellIs" dxfId="654" priority="649" operator="lessThan">
      <formula>0</formula>
    </cfRule>
  </conditionalFormatting>
  <conditionalFormatting sqref="AF56:AG60">
    <cfRule type="cellIs" dxfId="653" priority="648" operator="lessThan">
      <formula>0</formula>
    </cfRule>
  </conditionalFormatting>
  <conditionalFormatting sqref="AF56:AG60">
    <cfRule type="cellIs" dxfId="652" priority="647" operator="lessThan">
      <formula>0</formula>
    </cfRule>
  </conditionalFormatting>
  <conditionalFormatting sqref="AF56:AI60">
    <cfRule type="cellIs" dxfId="651" priority="646" operator="lessThan">
      <formula>0</formula>
    </cfRule>
  </conditionalFormatting>
  <conditionalFormatting sqref="AF56:AI60">
    <cfRule type="cellIs" dxfId="650" priority="645" operator="lessThan">
      <formula>0</formula>
    </cfRule>
  </conditionalFormatting>
  <conditionalFormatting sqref="AH56:AI60">
    <cfRule type="cellIs" dxfId="649" priority="644" operator="lessThan">
      <formula>0</formula>
    </cfRule>
  </conditionalFormatting>
  <conditionalFormatting sqref="AF56:AG60">
    <cfRule type="cellIs" dxfId="648" priority="643" operator="lessThan">
      <formula>0</formula>
    </cfRule>
  </conditionalFormatting>
  <conditionalFormatting sqref="AF56:AI60">
    <cfRule type="cellIs" dxfId="647" priority="642" operator="lessThan">
      <formula>0</formula>
    </cfRule>
  </conditionalFormatting>
  <conditionalFormatting sqref="AK4:BA60">
    <cfRule type="cellIs" dxfId="646" priority="641" operator="lessThan">
      <formula>0</formula>
    </cfRule>
  </conditionalFormatting>
  <conditionalFormatting sqref="AK24:AK25 AL25:BA25">
    <cfRule type="cellIs" dxfId="645" priority="640" operator="lessThan">
      <formula>0</formula>
    </cfRule>
  </conditionalFormatting>
  <conditionalFormatting sqref="AK51:AK52 AK9:AZ10 AK4:AZ5 AK33:AK38 AL33:BA33 AW6:AZ8 BA4:BA10 AW11:BA32 AL38:BA38 AW34:BA37 AK55:BA55 AW39:BA54 AK58:AK60 AW56:BA60">
    <cfRule type="cellIs" dxfId="644" priority="639" operator="lessThan">
      <formula>0</formula>
    </cfRule>
  </conditionalFormatting>
  <conditionalFormatting sqref="AK20:AK23 AL22:AV22">
    <cfRule type="cellIs" dxfId="643" priority="638" operator="lessThan">
      <formula>0</formula>
    </cfRule>
  </conditionalFormatting>
  <conditionalFormatting sqref="AK26:AK32 AL32:AZ32">
    <cfRule type="cellIs" dxfId="642" priority="637" operator="lessThan">
      <formula>0</formula>
    </cfRule>
  </conditionalFormatting>
  <conditionalFormatting sqref="AK6:AZ8">
    <cfRule type="cellIs" dxfId="641" priority="636" operator="lessThan">
      <formula>0</formula>
    </cfRule>
  </conditionalFormatting>
  <conditionalFormatting sqref="AK17:AK19">
    <cfRule type="cellIs" dxfId="640" priority="635" operator="lessThan">
      <formula>0</formula>
    </cfRule>
  </conditionalFormatting>
  <conditionalFormatting sqref="AK11:AK21">
    <cfRule type="cellIs" dxfId="639" priority="634" operator="lessThan">
      <formula>0</formula>
    </cfRule>
  </conditionalFormatting>
  <conditionalFormatting sqref="AK56:AK60">
    <cfRule type="cellIs" dxfId="638" priority="633" operator="lessThan">
      <formula>0</formula>
    </cfRule>
  </conditionalFormatting>
  <conditionalFormatting sqref="AK53">
    <cfRule type="cellIs" dxfId="637" priority="632" operator="lessThan">
      <formula>0</formula>
    </cfRule>
  </conditionalFormatting>
  <conditionalFormatting sqref="AK54">
    <cfRule type="cellIs" dxfId="636" priority="631" operator="lessThan">
      <formula>0</formula>
    </cfRule>
  </conditionalFormatting>
  <conditionalFormatting sqref="AK39:AK54">
    <cfRule type="cellIs" dxfId="635" priority="630" operator="lessThan">
      <formula>0</formula>
    </cfRule>
  </conditionalFormatting>
  <conditionalFormatting sqref="AK50">
    <cfRule type="cellIs" dxfId="634" priority="629" operator="lessThan">
      <formula>0</formula>
    </cfRule>
  </conditionalFormatting>
  <conditionalFormatting sqref="AW22:AZ24 AK11:AZ21">
    <cfRule type="cellIs" dxfId="633" priority="628" operator="lessThan">
      <formula>0</formula>
    </cfRule>
  </conditionalFormatting>
  <conditionalFormatting sqref="AK22:AV22">
    <cfRule type="cellIs" dxfId="632" priority="627" operator="lessThan">
      <formula>0</formula>
    </cfRule>
  </conditionalFormatting>
  <conditionalFormatting sqref="AK22:AZ22">
    <cfRule type="cellIs" dxfId="631" priority="626" operator="lessThan">
      <formula>0</formula>
    </cfRule>
  </conditionalFormatting>
  <conditionalFormatting sqref="AK23">
    <cfRule type="cellIs" dxfId="630" priority="625" operator="lessThan">
      <formula>0</formula>
    </cfRule>
  </conditionalFormatting>
  <conditionalFormatting sqref="AK23:AZ23">
    <cfRule type="cellIs" dxfId="629" priority="624" operator="lessThan">
      <formula>0</formula>
    </cfRule>
  </conditionalFormatting>
  <conditionalFormatting sqref="AK24">
    <cfRule type="cellIs" dxfId="628" priority="623" operator="lessThan">
      <formula>0</formula>
    </cfRule>
  </conditionalFormatting>
  <conditionalFormatting sqref="AK24">
    <cfRule type="cellIs" dxfId="627" priority="622" operator="lessThan">
      <formula>0</formula>
    </cfRule>
  </conditionalFormatting>
  <conditionalFormatting sqref="AK24:AZ24">
    <cfRule type="cellIs" dxfId="626" priority="621" operator="lessThan">
      <formula>0</formula>
    </cfRule>
  </conditionalFormatting>
  <conditionalFormatting sqref="AK26:AK32">
    <cfRule type="cellIs" dxfId="625" priority="620" operator="lessThan">
      <formula>0</formula>
    </cfRule>
  </conditionalFormatting>
  <conditionalFormatting sqref="AK26:AK32">
    <cfRule type="cellIs" dxfId="624" priority="619" operator="lessThan">
      <formula>0</formula>
    </cfRule>
  </conditionalFormatting>
  <conditionalFormatting sqref="AK26:AZ32">
    <cfRule type="cellIs" dxfId="623" priority="618" operator="lessThan">
      <formula>0</formula>
    </cfRule>
  </conditionalFormatting>
  <conditionalFormatting sqref="AK34:AZ37">
    <cfRule type="cellIs" dxfId="622" priority="617" operator="lessThan">
      <formula>0</formula>
    </cfRule>
  </conditionalFormatting>
  <conditionalFormatting sqref="AK34:AK37">
    <cfRule type="cellIs" dxfId="621" priority="616" operator="lessThan">
      <formula>0</formula>
    </cfRule>
  </conditionalFormatting>
  <conditionalFormatting sqref="AK34:AK37">
    <cfRule type="cellIs" dxfId="620" priority="615" operator="lessThan">
      <formula>0</formula>
    </cfRule>
  </conditionalFormatting>
  <conditionalFormatting sqref="AK34:AZ37">
    <cfRule type="cellIs" dxfId="619" priority="614" operator="lessThan">
      <formula>0</formula>
    </cfRule>
  </conditionalFormatting>
  <conditionalFormatting sqref="AK39:AK54">
    <cfRule type="cellIs" dxfId="618" priority="613" operator="lessThan">
      <formula>0</formula>
    </cfRule>
  </conditionalFormatting>
  <conditionalFormatting sqref="AK39:AZ54">
    <cfRule type="cellIs" dxfId="617" priority="612" operator="lessThan">
      <formula>0</formula>
    </cfRule>
  </conditionalFormatting>
  <conditionalFormatting sqref="AK39:AK54">
    <cfRule type="cellIs" dxfId="616" priority="611" operator="lessThan">
      <formula>0</formula>
    </cfRule>
  </conditionalFormatting>
  <conditionalFormatting sqref="AK39:AK54">
    <cfRule type="cellIs" dxfId="615" priority="610" operator="lessThan">
      <formula>0</formula>
    </cfRule>
  </conditionalFormatting>
  <conditionalFormatting sqref="AK39:AZ54">
    <cfRule type="cellIs" dxfId="614" priority="609" operator="lessThan">
      <formula>0</formula>
    </cfRule>
  </conditionalFormatting>
  <conditionalFormatting sqref="AK56:AK60">
    <cfRule type="cellIs" dxfId="613" priority="608" operator="lessThan">
      <formula>0</formula>
    </cfRule>
  </conditionalFormatting>
  <conditionalFormatting sqref="AK56:AK60">
    <cfRule type="cellIs" dxfId="612" priority="607" operator="lessThan">
      <formula>0</formula>
    </cfRule>
  </conditionalFormatting>
  <conditionalFormatting sqref="AK56:AK60">
    <cfRule type="cellIs" dxfId="611" priority="606" operator="lessThan">
      <formula>0</formula>
    </cfRule>
  </conditionalFormatting>
  <conditionalFormatting sqref="AK56:AZ60">
    <cfRule type="cellIs" dxfId="610" priority="605" operator="lessThan">
      <formula>0</formula>
    </cfRule>
  </conditionalFormatting>
  <conditionalFormatting sqref="AK56:AK60">
    <cfRule type="cellIs" dxfId="609" priority="604" operator="lessThan">
      <formula>0</formula>
    </cfRule>
  </conditionalFormatting>
  <conditionalFormatting sqref="AK56:AK60">
    <cfRule type="cellIs" dxfId="608" priority="603" operator="lessThan">
      <formula>0</formula>
    </cfRule>
  </conditionalFormatting>
  <conditionalFormatting sqref="AK56:AZ60">
    <cfRule type="cellIs" dxfId="607" priority="602" operator="lessThan">
      <formula>0</formula>
    </cfRule>
  </conditionalFormatting>
  <conditionalFormatting sqref="AK4:BA4">
    <cfRule type="cellIs" dxfId="606" priority="601" operator="lessThan">
      <formula>0</formula>
    </cfRule>
  </conditionalFormatting>
  <conditionalFormatting sqref="AK4:BA4">
    <cfRule type="cellIs" dxfId="605" priority="600" operator="lessThan">
      <formula>0</formula>
    </cfRule>
  </conditionalFormatting>
  <conditionalFormatting sqref="AY11:AZ24">
    <cfRule type="cellIs" dxfId="604" priority="599" operator="lessThan">
      <formula>0</formula>
    </cfRule>
  </conditionalFormatting>
  <conditionalFormatting sqref="AY26:AZ32">
    <cfRule type="cellIs" dxfId="603" priority="598" operator="lessThan">
      <formula>0</formula>
    </cfRule>
  </conditionalFormatting>
  <conditionalFormatting sqref="AY26:AZ32">
    <cfRule type="cellIs" dxfId="602" priority="597" operator="lessThan">
      <formula>0</formula>
    </cfRule>
  </conditionalFormatting>
  <conditionalFormatting sqref="AY26:AZ32">
    <cfRule type="cellIs" dxfId="601" priority="596" operator="lessThan">
      <formula>0</formula>
    </cfRule>
  </conditionalFormatting>
  <conditionalFormatting sqref="AY34:AZ37">
    <cfRule type="cellIs" dxfId="600" priority="595" operator="lessThan">
      <formula>0</formula>
    </cfRule>
  </conditionalFormatting>
  <conditionalFormatting sqref="AY34:AZ37">
    <cfRule type="cellIs" dxfId="599" priority="594" operator="lessThan">
      <formula>0</formula>
    </cfRule>
  </conditionalFormatting>
  <conditionalFormatting sqref="AY34:AZ37">
    <cfRule type="cellIs" dxfId="598" priority="593" operator="lessThan">
      <formula>0</formula>
    </cfRule>
  </conditionalFormatting>
  <conditionalFormatting sqref="AY34:AZ37">
    <cfRule type="cellIs" dxfId="597" priority="592" operator="lessThan">
      <formula>0</formula>
    </cfRule>
  </conditionalFormatting>
  <conditionalFormatting sqref="AY34:AZ37">
    <cfRule type="cellIs" dxfId="596" priority="591" operator="lessThan">
      <formula>0</formula>
    </cfRule>
  </conditionalFormatting>
  <conditionalFormatting sqref="AY39:AZ54">
    <cfRule type="cellIs" dxfId="595" priority="590" operator="lessThan">
      <formula>0</formula>
    </cfRule>
  </conditionalFormatting>
  <conditionalFormatting sqref="AY39:AZ54">
    <cfRule type="cellIs" dxfId="594" priority="589" operator="lessThan">
      <formula>0</formula>
    </cfRule>
  </conditionalFormatting>
  <conditionalFormatting sqref="AY39:AZ54">
    <cfRule type="cellIs" dxfId="593" priority="588" operator="lessThan">
      <formula>0</formula>
    </cfRule>
  </conditionalFormatting>
  <conditionalFormatting sqref="AY39:AZ54">
    <cfRule type="cellIs" dxfId="592" priority="587" operator="lessThan">
      <formula>0</formula>
    </cfRule>
  </conditionalFormatting>
  <conditionalFormatting sqref="AY39:AZ54">
    <cfRule type="cellIs" dxfId="591" priority="586" operator="lessThan">
      <formula>0</formula>
    </cfRule>
  </conditionalFormatting>
  <conditionalFormatting sqref="AY39:AZ54">
    <cfRule type="cellIs" dxfId="590" priority="585" operator="lessThan">
      <formula>0</formula>
    </cfRule>
  </conditionalFormatting>
  <conditionalFormatting sqref="AY39:AZ54">
    <cfRule type="cellIs" dxfId="589" priority="584" operator="lessThan">
      <formula>0</formula>
    </cfRule>
  </conditionalFormatting>
  <conditionalFormatting sqref="AY56:AZ60">
    <cfRule type="cellIs" dxfId="588" priority="583" operator="lessThan">
      <formula>0</formula>
    </cfRule>
  </conditionalFormatting>
  <conditionalFormatting sqref="AY56:AZ60">
    <cfRule type="cellIs" dxfId="587" priority="582" operator="lessThan">
      <formula>0</formula>
    </cfRule>
  </conditionalFormatting>
  <conditionalFormatting sqref="AY56:AZ60">
    <cfRule type="cellIs" dxfId="586" priority="581" operator="lessThan">
      <formula>0</formula>
    </cfRule>
  </conditionalFormatting>
  <conditionalFormatting sqref="AY56:AZ60">
    <cfRule type="cellIs" dxfId="585" priority="580" operator="lessThan">
      <formula>0</formula>
    </cfRule>
  </conditionalFormatting>
  <conditionalFormatting sqref="AY56:AZ60">
    <cfRule type="cellIs" dxfId="584" priority="579" operator="lessThan">
      <formula>0</formula>
    </cfRule>
  </conditionalFormatting>
  <conditionalFormatting sqref="AY56:AZ60">
    <cfRule type="cellIs" dxfId="583" priority="578" operator="lessThan">
      <formula>0</formula>
    </cfRule>
  </conditionalFormatting>
  <conditionalFormatting sqref="AY56:AZ60">
    <cfRule type="cellIs" dxfId="582" priority="577" operator="lessThan">
      <formula>0</formula>
    </cfRule>
  </conditionalFormatting>
  <conditionalFormatting sqref="AY56:AZ60">
    <cfRule type="cellIs" dxfId="581" priority="576" operator="lessThan">
      <formula>0</formula>
    </cfRule>
  </conditionalFormatting>
  <conditionalFormatting sqref="AY56:AZ60">
    <cfRule type="cellIs" dxfId="580" priority="575" operator="lessThan">
      <formula>0</formula>
    </cfRule>
  </conditionalFormatting>
  <conditionalFormatting sqref="AW11:AX24">
    <cfRule type="cellIs" dxfId="579" priority="574" operator="lessThan">
      <formula>0</formula>
    </cfRule>
  </conditionalFormatting>
  <conditionalFormatting sqref="AW26:AX32">
    <cfRule type="cellIs" dxfId="578" priority="573" operator="lessThan">
      <formula>0</formula>
    </cfRule>
  </conditionalFormatting>
  <conditionalFormatting sqref="AW26:AX32">
    <cfRule type="cellIs" dxfId="577" priority="572" operator="lessThan">
      <formula>0</formula>
    </cfRule>
  </conditionalFormatting>
  <conditionalFormatting sqref="AW26:AX32">
    <cfRule type="cellIs" dxfId="576" priority="571" operator="lessThan">
      <formula>0</formula>
    </cfRule>
  </conditionalFormatting>
  <conditionalFormatting sqref="AW34:AX37">
    <cfRule type="cellIs" dxfId="575" priority="570" operator="lessThan">
      <formula>0</formula>
    </cfRule>
  </conditionalFormatting>
  <conditionalFormatting sqref="AW34:AX37">
    <cfRule type="cellIs" dxfId="574" priority="569" operator="lessThan">
      <formula>0</formula>
    </cfRule>
  </conditionalFormatting>
  <conditionalFormatting sqref="AW34:AX37">
    <cfRule type="cellIs" dxfId="573" priority="568" operator="lessThan">
      <formula>0</formula>
    </cfRule>
  </conditionalFormatting>
  <conditionalFormatting sqref="AW34:AX37">
    <cfRule type="cellIs" dxfId="572" priority="567" operator="lessThan">
      <formula>0</formula>
    </cfRule>
  </conditionalFormatting>
  <conditionalFormatting sqref="AW34:AX37">
    <cfRule type="cellIs" dxfId="571" priority="566" operator="lessThan">
      <formula>0</formula>
    </cfRule>
  </conditionalFormatting>
  <conditionalFormatting sqref="AW39:AX54">
    <cfRule type="cellIs" dxfId="570" priority="565" operator="lessThan">
      <formula>0</formula>
    </cfRule>
  </conditionalFormatting>
  <conditionalFormatting sqref="AW39:AX54">
    <cfRule type="cellIs" dxfId="569" priority="564" operator="lessThan">
      <formula>0</formula>
    </cfRule>
  </conditionalFormatting>
  <conditionalFormatting sqref="AW39:AX54">
    <cfRule type="cellIs" dxfId="568" priority="563" operator="lessThan">
      <formula>0</formula>
    </cfRule>
  </conditionalFormatting>
  <conditionalFormatting sqref="AW39:AX54">
    <cfRule type="cellIs" dxfId="567" priority="562" operator="lessThan">
      <formula>0</formula>
    </cfRule>
  </conditionalFormatting>
  <conditionalFormatting sqref="AW39:AX54">
    <cfRule type="cellIs" dxfId="566" priority="561" operator="lessThan">
      <formula>0</formula>
    </cfRule>
  </conditionalFormatting>
  <conditionalFormatting sqref="AW39:AX54">
    <cfRule type="cellIs" dxfId="565" priority="560" operator="lessThan">
      <formula>0</formula>
    </cfRule>
  </conditionalFormatting>
  <conditionalFormatting sqref="AW39:AX54">
    <cfRule type="cellIs" dxfId="564" priority="559" operator="lessThan">
      <formula>0</formula>
    </cfRule>
  </conditionalFormatting>
  <conditionalFormatting sqref="AW56:AX60">
    <cfRule type="cellIs" dxfId="563" priority="558" operator="lessThan">
      <formula>0</formula>
    </cfRule>
  </conditionalFormatting>
  <conditionalFormatting sqref="AW56:AX60">
    <cfRule type="cellIs" dxfId="562" priority="557" operator="lessThan">
      <formula>0</formula>
    </cfRule>
  </conditionalFormatting>
  <conditionalFormatting sqref="AW56:AX60">
    <cfRule type="cellIs" dxfId="561" priority="556" operator="lessThan">
      <formula>0</formula>
    </cfRule>
  </conditionalFormatting>
  <conditionalFormatting sqref="AW56:AX60">
    <cfRule type="cellIs" dxfId="560" priority="555" operator="lessThan">
      <formula>0</formula>
    </cfRule>
  </conditionalFormatting>
  <conditionalFormatting sqref="AW56:AX60">
    <cfRule type="cellIs" dxfId="559" priority="554" operator="lessThan">
      <formula>0</formula>
    </cfRule>
  </conditionalFormatting>
  <conditionalFormatting sqref="AW56:AX60">
    <cfRule type="cellIs" dxfId="558" priority="553" operator="lessThan">
      <formula>0</formula>
    </cfRule>
  </conditionalFormatting>
  <conditionalFormatting sqref="AW56:AX60">
    <cfRule type="cellIs" dxfId="557" priority="552" operator="lessThan">
      <formula>0</formula>
    </cfRule>
  </conditionalFormatting>
  <conditionalFormatting sqref="AW56:AX60">
    <cfRule type="cellIs" dxfId="556" priority="551" operator="lessThan">
      <formula>0</formula>
    </cfRule>
  </conditionalFormatting>
  <conditionalFormatting sqref="AW56:AX60">
    <cfRule type="cellIs" dxfId="555" priority="550" operator="lessThan">
      <formula>0</formula>
    </cfRule>
  </conditionalFormatting>
  <conditionalFormatting sqref="AW11:AZ24">
    <cfRule type="cellIs" dxfId="554" priority="549" operator="lessThan">
      <formula>0</formula>
    </cfRule>
  </conditionalFormatting>
  <conditionalFormatting sqref="AW26:AZ32">
    <cfRule type="cellIs" dxfId="553" priority="548" operator="lessThan">
      <formula>0</formula>
    </cfRule>
  </conditionalFormatting>
  <conditionalFormatting sqref="AW26:AZ32">
    <cfRule type="cellIs" dxfId="552" priority="547" operator="lessThan">
      <formula>0</formula>
    </cfRule>
  </conditionalFormatting>
  <conditionalFormatting sqref="AY26:AZ32">
    <cfRule type="cellIs" dxfId="551" priority="546" operator="lessThan">
      <formula>0</formula>
    </cfRule>
  </conditionalFormatting>
  <conditionalFormatting sqref="AW26:AX32">
    <cfRule type="cellIs" dxfId="550" priority="545" operator="lessThan">
      <formula>0</formula>
    </cfRule>
  </conditionalFormatting>
  <conditionalFormatting sqref="AW26:AZ32">
    <cfRule type="cellIs" dxfId="549" priority="544" operator="lessThan">
      <formula>0</formula>
    </cfRule>
  </conditionalFormatting>
  <conditionalFormatting sqref="AW34:AZ37">
    <cfRule type="cellIs" dxfId="548" priority="543" operator="lessThan">
      <formula>0</formula>
    </cfRule>
  </conditionalFormatting>
  <conditionalFormatting sqref="AW34:AZ37">
    <cfRule type="cellIs" dxfId="547" priority="542" operator="lessThan">
      <formula>0</formula>
    </cfRule>
  </conditionalFormatting>
  <conditionalFormatting sqref="AY34:AZ37">
    <cfRule type="cellIs" dxfId="546" priority="541" operator="lessThan">
      <formula>0</formula>
    </cfRule>
  </conditionalFormatting>
  <conditionalFormatting sqref="AY34:AZ37">
    <cfRule type="cellIs" dxfId="545" priority="540" operator="lessThan">
      <formula>0</formula>
    </cfRule>
  </conditionalFormatting>
  <conditionalFormatting sqref="AY34:AZ37">
    <cfRule type="cellIs" dxfId="544" priority="539" operator="lessThan">
      <formula>0</formula>
    </cfRule>
  </conditionalFormatting>
  <conditionalFormatting sqref="AW34:AX37">
    <cfRule type="cellIs" dxfId="543" priority="538" operator="lessThan">
      <formula>0</formula>
    </cfRule>
  </conditionalFormatting>
  <conditionalFormatting sqref="AW34:AX37">
    <cfRule type="cellIs" dxfId="542" priority="537" operator="lessThan">
      <formula>0</formula>
    </cfRule>
  </conditionalFormatting>
  <conditionalFormatting sqref="AW34:AX37">
    <cfRule type="cellIs" dxfId="541" priority="536" operator="lessThan">
      <formula>0</formula>
    </cfRule>
  </conditionalFormatting>
  <conditionalFormatting sqref="AW34:AZ37">
    <cfRule type="cellIs" dxfId="540" priority="535" operator="lessThan">
      <formula>0</formula>
    </cfRule>
  </conditionalFormatting>
  <conditionalFormatting sqref="AW34:AZ37">
    <cfRule type="cellIs" dxfId="539" priority="534" operator="lessThan">
      <formula>0</formula>
    </cfRule>
  </conditionalFormatting>
  <conditionalFormatting sqref="AY34:AZ37">
    <cfRule type="cellIs" dxfId="538" priority="533" operator="lessThan">
      <formula>0</formula>
    </cfRule>
  </conditionalFormatting>
  <conditionalFormatting sqref="AW34:AX37">
    <cfRule type="cellIs" dxfId="537" priority="532" operator="lessThan">
      <formula>0</formula>
    </cfRule>
  </conditionalFormatting>
  <conditionalFormatting sqref="AW34:AZ37">
    <cfRule type="cellIs" dxfId="536" priority="531" operator="lessThan">
      <formula>0</formula>
    </cfRule>
  </conditionalFormatting>
  <conditionalFormatting sqref="AW39:AZ54">
    <cfRule type="cellIs" dxfId="535" priority="530" operator="lessThan">
      <formula>0</formula>
    </cfRule>
  </conditionalFormatting>
  <conditionalFormatting sqref="AW39:AZ54">
    <cfRule type="cellIs" dxfId="534" priority="529" operator="lessThan">
      <formula>0</formula>
    </cfRule>
  </conditionalFormatting>
  <conditionalFormatting sqref="AY39:AZ54">
    <cfRule type="cellIs" dxfId="533" priority="528" operator="lessThan">
      <formula>0</formula>
    </cfRule>
  </conditionalFormatting>
  <conditionalFormatting sqref="AY39:AZ54">
    <cfRule type="cellIs" dxfId="532" priority="527" operator="lessThan">
      <formula>0</formula>
    </cfRule>
  </conditionalFormatting>
  <conditionalFormatting sqref="AY39:AZ54">
    <cfRule type="cellIs" dxfId="531" priority="526" operator="lessThan">
      <formula>0</formula>
    </cfRule>
  </conditionalFormatting>
  <conditionalFormatting sqref="AY39:AZ54">
    <cfRule type="cellIs" dxfId="530" priority="525" operator="lessThan">
      <formula>0</formula>
    </cfRule>
  </conditionalFormatting>
  <conditionalFormatting sqref="AY39:AZ54">
    <cfRule type="cellIs" dxfId="529" priority="524" operator="lessThan">
      <formula>0</formula>
    </cfRule>
  </conditionalFormatting>
  <conditionalFormatting sqref="AW39:AX54">
    <cfRule type="cellIs" dxfId="528" priority="523" operator="lessThan">
      <formula>0</formula>
    </cfRule>
  </conditionalFormatting>
  <conditionalFormatting sqref="AW39:AX54">
    <cfRule type="cellIs" dxfId="527" priority="522" operator="lessThan">
      <formula>0</formula>
    </cfRule>
  </conditionalFormatting>
  <conditionalFormatting sqref="AW39:AX54">
    <cfRule type="cellIs" dxfId="526" priority="521" operator="lessThan">
      <formula>0</formula>
    </cfRule>
  </conditionalFormatting>
  <conditionalFormatting sqref="AW39:AX54">
    <cfRule type="cellIs" dxfId="525" priority="520" operator="lessThan">
      <formula>0</formula>
    </cfRule>
  </conditionalFormatting>
  <conditionalFormatting sqref="AW39:AX54">
    <cfRule type="cellIs" dxfId="524" priority="519" operator="lessThan">
      <formula>0</formula>
    </cfRule>
  </conditionalFormatting>
  <conditionalFormatting sqref="AW39:AZ54">
    <cfRule type="cellIs" dxfId="523" priority="518" operator="lessThan">
      <formula>0</formula>
    </cfRule>
  </conditionalFormatting>
  <conditionalFormatting sqref="AW39:AZ54">
    <cfRule type="cellIs" dxfId="522" priority="517" operator="lessThan">
      <formula>0</formula>
    </cfRule>
  </conditionalFormatting>
  <conditionalFormatting sqref="AY39:AZ54">
    <cfRule type="cellIs" dxfId="521" priority="516" operator="lessThan">
      <formula>0</formula>
    </cfRule>
  </conditionalFormatting>
  <conditionalFormatting sqref="AY39:AZ54">
    <cfRule type="cellIs" dxfId="520" priority="515" operator="lessThan">
      <formula>0</formula>
    </cfRule>
  </conditionalFormatting>
  <conditionalFormatting sqref="AY39:AZ54">
    <cfRule type="cellIs" dxfId="519" priority="514" operator="lessThan">
      <formula>0</formula>
    </cfRule>
  </conditionalFormatting>
  <conditionalFormatting sqref="AW39:AX54">
    <cfRule type="cellIs" dxfId="518" priority="513" operator="lessThan">
      <formula>0</formula>
    </cfRule>
  </conditionalFormatting>
  <conditionalFormatting sqref="AW39:AX54">
    <cfRule type="cellIs" dxfId="517" priority="512" operator="lessThan">
      <formula>0</formula>
    </cfRule>
  </conditionalFormatting>
  <conditionalFormatting sqref="AW39:AX54">
    <cfRule type="cellIs" dxfId="516" priority="511" operator="lessThan">
      <formula>0</formula>
    </cfRule>
  </conditionalFormatting>
  <conditionalFormatting sqref="AW39:AZ54">
    <cfRule type="cellIs" dxfId="515" priority="510" operator="lessThan">
      <formula>0</formula>
    </cfRule>
  </conditionalFormatting>
  <conditionalFormatting sqref="AW39:AZ54">
    <cfRule type="cellIs" dxfId="514" priority="509" operator="lessThan">
      <formula>0</formula>
    </cfRule>
  </conditionalFormatting>
  <conditionalFormatting sqref="AY39:AZ54">
    <cfRule type="cellIs" dxfId="513" priority="508" operator="lessThan">
      <formula>0</formula>
    </cfRule>
  </conditionalFormatting>
  <conditionalFormatting sqref="AW39:AX54">
    <cfRule type="cellIs" dxfId="512" priority="507" operator="lessThan">
      <formula>0</formula>
    </cfRule>
  </conditionalFormatting>
  <conditionalFormatting sqref="AW39:AZ54">
    <cfRule type="cellIs" dxfId="511" priority="506" operator="lessThan">
      <formula>0</formula>
    </cfRule>
  </conditionalFormatting>
  <conditionalFormatting sqref="AW56:AZ60">
    <cfRule type="cellIs" dxfId="510" priority="505" operator="lessThan">
      <formula>0</formula>
    </cfRule>
  </conditionalFormatting>
  <conditionalFormatting sqref="AW56:AZ60">
    <cfRule type="cellIs" dxfId="509" priority="504" operator="lessThan">
      <formula>0</formula>
    </cfRule>
  </conditionalFormatting>
  <conditionalFormatting sqref="AY56:AZ60">
    <cfRule type="cellIs" dxfId="508" priority="503" operator="lessThan">
      <formula>0</formula>
    </cfRule>
  </conditionalFormatting>
  <conditionalFormatting sqref="AY56:AZ60">
    <cfRule type="cellIs" dxfId="507" priority="502" operator="lessThan">
      <formula>0</formula>
    </cfRule>
  </conditionalFormatting>
  <conditionalFormatting sqref="AY56:AZ60">
    <cfRule type="cellIs" dxfId="506" priority="501" operator="lessThan">
      <formula>0</formula>
    </cfRule>
  </conditionalFormatting>
  <conditionalFormatting sqref="AY56:AZ60">
    <cfRule type="cellIs" dxfId="505" priority="500" operator="lessThan">
      <formula>0</formula>
    </cfRule>
  </conditionalFormatting>
  <conditionalFormatting sqref="AY56:AZ60">
    <cfRule type="cellIs" dxfId="504" priority="499" operator="lessThan">
      <formula>0</formula>
    </cfRule>
  </conditionalFormatting>
  <conditionalFormatting sqref="AY56:AZ60">
    <cfRule type="cellIs" dxfId="503" priority="498" operator="lessThan">
      <formula>0</formula>
    </cfRule>
  </conditionalFormatting>
  <conditionalFormatting sqref="AY56:AZ60">
    <cfRule type="cellIs" dxfId="502" priority="497" operator="lessThan">
      <formula>0</formula>
    </cfRule>
  </conditionalFormatting>
  <conditionalFormatting sqref="AW56:AX60">
    <cfRule type="cellIs" dxfId="501" priority="496" operator="lessThan">
      <formula>0</formula>
    </cfRule>
  </conditionalFormatting>
  <conditionalFormatting sqref="AW56:AX60">
    <cfRule type="cellIs" dxfId="500" priority="495" operator="lessThan">
      <formula>0</formula>
    </cfRule>
  </conditionalFormatting>
  <conditionalFormatting sqref="AW56:AX60">
    <cfRule type="cellIs" dxfId="499" priority="494" operator="lessThan">
      <formula>0</formula>
    </cfRule>
  </conditionalFormatting>
  <conditionalFormatting sqref="AW56:AX60">
    <cfRule type="cellIs" dxfId="498" priority="493" operator="lessThan">
      <formula>0</formula>
    </cfRule>
  </conditionalFormatting>
  <conditionalFormatting sqref="AW56:AX60">
    <cfRule type="cellIs" dxfId="497" priority="492" operator="lessThan">
      <formula>0</formula>
    </cfRule>
  </conditionalFormatting>
  <conditionalFormatting sqref="AW56:AX60">
    <cfRule type="cellIs" dxfId="496" priority="491" operator="lessThan">
      <formula>0</formula>
    </cfRule>
  </conditionalFormatting>
  <conditionalFormatting sqref="AW56:AX60">
    <cfRule type="cellIs" dxfId="495" priority="490" operator="lessThan">
      <formula>0</formula>
    </cfRule>
  </conditionalFormatting>
  <conditionalFormatting sqref="AW56:AZ60">
    <cfRule type="cellIs" dxfId="494" priority="489" operator="lessThan">
      <formula>0</formula>
    </cfRule>
  </conditionalFormatting>
  <conditionalFormatting sqref="AW56:AZ60">
    <cfRule type="cellIs" dxfId="493" priority="488" operator="lessThan">
      <formula>0</formula>
    </cfRule>
  </conditionalFormatting>
  <conditionalFormatting sqref="AY56:AZ60">
    <cfRule type="cellIs" dxfId="492" priority="487" operator="lessThan">
      <formula>0</formula>
    </cfRule>
  </conditionalFormatting>
  <conditionalFormatting sqref="AY56:AZ60">
    <cfRule type="cellIs" dxfId="491" priority="486" operator="lessThan">
      <formula>0</formula>
    </cfRule>
  </conditionalFormatting>
  <conditionalFormatting sqref="AY56:AZ60">
    <cfRule type="cellIs" dxfId="490" priority="485" operator="lessThan">
      <formula>0</formula>
    </cfRule>
  </conditionalFormatting>
  <conditionalFormatting sqref="AY56:AZ60">
    <cfRule type="cellIs" dxfId="489" priority="484" operator="lessThan">
      <formula>0</formula>
    </cfRule>
  </conditionalFormatting>
  <conditionalFormatting sqref="AY56:AZ60">
    <cfRule type="cellIs" dxfId="488" priority="483" operator="lessThan">
      <formula>0</formula>
    </cfRule>
  </conditionalFormatting>
  <conditionalFormatting sqref="AW56:AX60">
    <cfRule type="cellIs" dxfId="487" priority="482" operator="lessThan">
      <formula>0</formula>
    </cfRule>
  </conditionalFormatting>
  <conditionalFormatting sqref="AW56:AX60">
    <cfRule type="cellIs" dxfId="486" priority="481" operator="lessThan">
      <formula>0</formula>
    </cfRule>
  </conditionalFormatting>
  <conditionalFormatting sqref="AW56:AX60">
    <cfRule type="cellIs" dxfId="485" priority="480" operator="lessThan">
      <formula>0</formula>
    </cfRule>
  </conditionalFormatting>
  <conditionalFormatting sqref="AW56:AX60">
    <cfRule type="cellIs" dxfId="484" priority="479" operator="lessThan">
      <formula>0</formula>
    </cfRule>
  </conditionalFormatting>
  <conditionalFormatting sqref="AW56:AX60">
    <cfRule type="cellIs" dxfId="483" priority="478" operator="lessThan">
      <formula>0</formula>
    </cfRule>
  </conditionalFormatting>
  <conditionalFormatting sqref="AW56:AZ60">
    <cfRule type="cellIs" dxfId="482" priority="477" operator="lessThan">
      <formula>0</formula>
    </cfRule>
  </conditionalFormatting>
  <conditionalFormatting sqref="AW56:AZ60">
    <cfRule type="cellIs" dxfId="481" priority="476" operator="lessThan">
      <formula>0</formula>
    </cfRule>
  </conditionalFormatting>
  <conditionalFormatting sqref="AY56:AZ60">
    <cfRule type="cellIs" dxfId="480" priority="475" operator="lessThan">
      <formula>0</formula>
    </cfRule>
  </conditionalFormatting>
  <conditionalFormatting sqref="AY56:AZ60">
    <cfRule type="cellIs" dxfId="479" priority="474" operator="lessThan">
      <formula>0</formula>
    </cfRule>
  </conditionalFormatting>
  <conditionalFormatting sqref="AY56:AZ60">
    <cfRule type="cellIs" dxfId="478" priority="473" operator="lessThan">
      <formula>0</formula>
    </cfRule>
  </conditionalFormatting>
  <conditionalFormatting sqref="AW56:AX60">
    <cfRule type="cellIs" dxfId="477" priority="472" operator="lessThan">
      <formula>0</formula>
    </cfRule>
  </conditionalFormatting>
  <conditionalFormatting sqref="AW56:AX60">
    <cfRule type="cellIs" dxfId="476" priority="471" operator="lessThan">
      <formula>0</formula>
    </cfRule>
  </conditionalFormatting>
  <conditionalFormatting sqref="AW56:AX60">
    <cfRule type="cellIs" dxfId="475" priority="470" operator="lessThan">
      <formula>0</formula>
    </cfRule>
  </conditionalFormatting>
  <conditionalFormatting sqref="AW56:AZ60">
    <cfRule type="cellIs" dxfId="474" priority="469" operator="lessThan">
      <formula>0</formula>
    </cfRule>
  </conditionalFormatting>
  <conditionalFormatting sqref="AW56:AZ60">
    <cfRule type="cellIs" dxfId="473" priority="468" operator="lessThan">
      <formula>0</formula>
    </cfRule>
  </conditionalFormatting>
  <conditionalFormatting sqref="AY56:AZ60">
    <cfRule type="cellIs" dxfId="472" priority="467" operator="lessThan">
      <formula>0</formula>
    </cfRule>
  </conditionalFormatting>
  <conditionalFormatting sqref="AW56:AX60">
    <cfRule type="cellIs" dxfId="471" priority="466" operator="lessThan">
      <formula>0</formula>
    </cfRule>
  </conditionalFormatting>
  <conditionalFormatting sqref="AW56:AZ60">
    <cfRule type="cellIs" dxfId="470" priority="465" operator="lessThan">
      <formula>0</formula>
    </cfRule>
  </conditionalFormatting>
  <conditionalFormatting sqref="BB4:BR60">
    <cfRule type="cellIs" dxfId="469" priority="464" operator="lessThan">
      <formula>0</formula>
    </cfRule>
  </conditionalFormatting>
  <conditionalFormatting sqref="BB24:BB25 BC25:BR25">
    <cfRule type="cellIs" dxfId="468" priority="463" operator="lessThan">
      <formula>0</formula>
    </cfRule>
  </conditionalFormatting>
  <conditionalFormatting sqref="BB51:BB52 BB9:BQ10 BB4:BQ5 BB33:BB38 BC33:BR33 BN6:BQ8 BR4:BR10 BN11:BR32 BC38:BR38 BN34:BR37 BB55:BR55 BN39:BR54 BB58:BB60 BN56:BR60">
    <cfRule type="cellIs" dxfId="467" priority="462" operator="lessThan">
      <formula>0</formula>
    </cfRule>
  </conditionalFormatting>
  <conditionalFormatting sqref="BB20:BB23 BC22:BM22">
    <cfRule type="cellIs" dxfId="466" priority="461" operator="lessThan">
      <formula>0</formula>
    </cfRule>
  </conditionalFormatting>
  <conditionalFormatting sqref="BB26:BB32 BC32:BQ32">
    <cfRule type="cellIs" dxfId="465" priority="460" operator="lessThan">
      <formula>0</formula>
    </cfRule>
  </conditionalFormatting>
  <conditionalFormatting sqref="BB6:BQ8">
    <cfRule type="cellIs" dxfId="464" priority="459" operator="lessThan">
      <formula>0</formula>
    </cfRule>
  </conditionalFormatting>
  <conditionalFormatting sqref="BB17:BB19">
    <cfRule type="cellIs" dxfId="463" priority="458" operator="lessThan">
      <formula>0</formula>
    </cfRule>
  </conditionalFormatting>
  <conditionalFormatting sqref="BB11:BB21">
    <cfRule type="cellIs" dxfId="462" priority="457" operator="lessThan">
      <formula>0</formula>
    </cfRule>
  </conditionalFormatting>
  <conditionalFormatting sqref="BB56:BB60">
    <cfRule type="cellIs" dxfId="461" priority="456" operator="lessThan">
      <formula>0</formula>
    </cfRule>
  </conditionalFormatting>
  <conditionalFormatting sqref="BB53">
    <cfRule type="cellIs" dxfId="460" priority="455" operator="lessThan">
      <formula>0</formula>
    </cfRule>
  </conditionalFormatting>
  <conditionalFormatting sqref="BB54">
    <cfRule type="cellIs" dxfId="459" priority="454" operator="lessThan">
      <formula>0</formula>
    </cfRule>
  </conditionalFormatting>
  <conditionalFormatting sqref="BB39:BB54">
    <cfRule type="cellIs" dxfId="458" priority="453" operator="lessThan">
      <formula>0</formula>
    </cfRule>
  </conditionalFormatting>
  <conditionalFormatting sqref="BB50">
    <cfRule type="cellIs" dxfId="457" priority="452" operator="lessThan">
      <formula>0</formula>
    </cfRule>
  </conditionalFormatting>
  <conditionalFormatting sqref="BB11:BQ21 BN22:BQ24">
    <cfRule type="cellIs" dxfId="456" priority="451" operator="lessThan">
      <formula>0</formula>
    </cfRule>
  </conditionalFormatting>
  <conditionalFormatting sqref="BB22:BM22">
    <cfRule type="cellIs" dxfId="455" priority="450" operator="lessThan">
      <formula>0</formula>
    </cfRule>
  </conditionalFormatting>
  <conditionalFormatting sqref="BB22:BQ22">
    <cfRule type="cellIs" dxfId="454" priority="449" operator="lessThan">
      <formula>0</formula>
    </cfRule>
  </conditionalFormatting>
  <conditionalFormatting sqref="BB23">
    <cfRule type="cellIs" dxfId="453" priority="448" operator="lessThan">
      <formula>0</formula>
    </cfRule>
  </conditionalFormatting>
  <conditionalFormatting sqref="BB23:BQ23">
    <cfRule type="cellIs" dxfId="452" priority="447" operator="lessThan">
      <formula>0</formula>
    </cfRule>
  </conditionalFormatting>
  <conditionalFormatting sqref="BB24">
    <cfRule type="cellIs" dxfId="451" priority="446" operator="lessThan">
      <formula>0</formula>
    </cfRule>
  </conditionalFormatting>
  <conditionalFormatting sqref="BB24">
    <cfRule type="cellIs" dxfId="450" priority="445" operator="lessThan">
      <formula>0</formula>
    </cfRule>
  </conditionalFormatting>
  <conditionalFormatting sqref="BB24:BQ24">
    <cfRule type="cellIs" dxfId="449" priority="444" operator="lessThan">
      <formula>0</formula>
    </cfRule>
  </conditionalFormatting>
  <conditionalFormatting sqref="BB26:BB32">
    <cfRule type="cellIs" dxfId="448" priority="443" operator="lessThan">
      <formula>0</formula>
    </cfRule>
  </conditionalFormatting>
  <conditionalFormatting sqref="BB26:BB32">
    <cfRule type="cellIs" dxfId="447" priority="442" operator="lessThan">
      <formula>0</formula>
    </cfRule>
  </conditionalFormatting>
  <conditionalFormatting sqref="BB26:BQ32">
    <cfRule type="cellIs" dxfId="446" priority="441" operator="lessThan">
      <formula>0</formula>
    </cfRule>
  </conditionalFormatting>
  <conditionalFormatting sqref="BB34:BQ37">
    <cfRule type="cellIs" dxfId="445" priority="440" operator="lessThan">
      <formula>0</formula>
    </cfRule>
  </conditionalFormatting>
  <conditionalFormatting sqref="BB34:BB37">
    <cfRule type="cellIs" dxfId="444" priority="439" operator="lessThan">
      <formula>0</formula>
    </cfRule>
  </conditionalFormatting>
  <conditionalFormatting sqref="BB34:BB37">
    <cfRule type="cellIs" dxfId="443" priority="438" operator="lessThan">
      <formula>0</formula>
    </cfRule>
  </conditionalFormatting>
  <conditionalFormatting sqref="BB34:BQ37">
    <cfRule type="cellIs" dxfId="442" priority="437" operator="lessThan">
      <formula>0</formula>
    </cfRule>
  </conditionalFormatting>
  <conditionalFormatting sqref="BB39:BB54">
    <cfRule type="cellIs" dxfId="441" priority="436" operator="lessThan">
      <formula>0</formula>
    </cfRule>
  </conditionalFormatting>
  <conditionalFormatting sqref="BB39:BQ54">
    <cfRule type="cellIs" dxfId="440" priority="435" operator="lessThan">
      <formula>0</formula>
    </cfRule>
  </conditionalFormatting>
  <conditionalFormatting sqref="BB39:BB54">
    <cfRule type="cellIs" dxfId="439" priority="434" operator="lessThan">
      <formula>0</formula>
    </cfRule>
  </conditionalFormatting>
  <conditionalFormatting sqref="BB39:BB54">
    <cfRule type="cellIs" dxfId="438" priority="433" operator="lessThan">
      <formula>0</formula>
    </cfRule>
  </conditionalFormatting>
  <conditionalFormatting sqref="BB39:BQ54">
    <cfRule type="cellIs" dxfId="437" priority="432" operator="lessThan">
      <formula>0</formula>
    </cfRule>
  </conditionalFormatting>
  <conditionalFormatting sqref="BB56:BB60">
    <cfRule type="cellIs" dxfId="436" priority="431" operator="lessThan">
      <formula>0</formula>
    </cfRule>
  </conditionalFormatting>
  <conditionalFormatting sqref="BB56:BB60">
    <cfRule type="cellIs" dxfId="435" priority="430" operator="lessThan">
      <formula>0</formula>
    </cfRule>
  </conditionalFormatting>
  <conditionalFormatting sqref="BB56:BB60">
    <cfRule type="cellIs" dxfId="434" priority="429" operator="lessThan">
      <formula>0</formula>
    </cfRule>
  </conditionalFormatting>
  <conditionalFormatting sqref="BB56:BQ60">
    <cfRule type="cellIs" dxfId="433" priority="428" operator="lessThan">
      <formula>0</formula>
    </cfRule>
  </conditionalFormatting>
  <conditionalFormatting sqref="BB56:BB60">
    <cfRule type="cellIs" dxfId="432" priority="427" operator="lessThan">
      <formula>0</formula>
    </cfRule>
  </conditionalFormatting>
  <conditionalFormatting sqref="BB56:BB60">
    <cfRule type="cellIs" dxfId="431" priority="426" operator="lessThan">
      <formula>0</formula>
    </cfRule>
  </conditionalFormatting>
  <conditionalFormatting sqref="BB56:BQ60">
    <cfRule type="cellIs" dxfId="430" priority="425" operator="lessThan">
      <formula>0</formula>
    </cfRule>
  </conditionalFormatting>
  <conditionalFormatting sqref="BB4:BR4">
    <cfRule type="cellIs" dxfId="429" priority="424" operator="lessThan">
      <formula>0</formula>
    </cfRule>
  </conditionalFormatting>
  <conditionalFormatting sqref="BB4:BR4">
    <cfRule type="cellIs" dxfId="428" priority="423" operator="lessThan">
      <formula>0</formula>
    </cfRule>
  </conditionalFormatting>
  <conditionalFormatting sqref="BP11:BQ24">
    <cfRule type="cellIs" dxfId="427" priority="422" operator="lessThan">
      <formula>0</formula>
    </cfRule>
  </conditionalFormatting>
  <conditionalFormatting sqref="BP26:BQ32">
    <cfRule type="cellIs" dxfId="426" priority="421" operator="lessThan">
      <formula>0</formula>
    </cfRule>
  </conditionalFormatting>
  <conditionalFormatting sqref="BP26:BQ32">
    <cfRule type="cellIs" dxfId="425" priority="420" operator="lessThan">
      <formula>0</formula>
    </cfRule>
  </conditionalFormatting>
  <conditionalFormatting sqref="BP26:BQ32">
    <cfRule type="cellIs" dxfId="424" priority="419" operator="lessThan">
      <formula>0</formula>
    </cfRule>
  </conditionalFormatting>
  <conditionalFormatting sqref="BP34:BQ37">
    <cfRule type="cellIs" dxfId="423" priority="418" operator="lessThan">
      <formula>0</formula>
    </cfRule>
  </conditionalFormatting>
  <conditionalFormatting sqref="BP34:BQ37">
    <cfRule type="cellIs" dxfId="422" priority="417" operator="lessThan">
      <formula>0</formula>
    </cfRule>
  </conditionalFormatting>
  <conditionalFormatting sqref="BP34:BQ37">
    <cfRule type="cellIs" dxfId="421" priority="416" operator="lessThan">
      <formula>0</formula>
    </cfRule>
  </conditionalFormatting>
  <conditionalFormatting sqref="BP34:BQ37">
    <cfRule type="cellIs" dxfId="420" priority="415" operator="lessThan">
      <formula>0</formula>
    </cfRule>
  </conditionalFormatting>
  <conditionalFormatting sqref="BP34:BQ37">
    <cfRule type="cellIs" dxfId="419" priority="414" operator="lessThan">
      <formula>0</formula>
    </cfRule>
  </conditionalFormatting>
  <conditionalFormatting sqref="BP39:BQ54">
    <cfRule type="cellIs" dxfId="418" priority="413" operator="lessThan">
      <formula>0</formula>
    </cfRule>
  </conditionalFormatting>
  <conditionalFormatting sqref="BP39:BQ54">
    <cfRule type="cellIs" dxfId="417" priority="412" operator="lessThan">
      <formula>0</formula>
    </cfRule>
  </conditionalFormatting>
  <conditionalFormatting sqref="BP39:BQ54">
    <cfRule type="cellIs" dxfId="416" priority="411" operator="lessThan">
      <formula>0</formula>
    </cfRule>
  </conditionalFormatting>
  <conditionalFormatting sqref="BP39:BQ54">
    <cfRule type="cellIs" dxfId="415" priority="410" operator="lessThan">
      <formula>0</formula>
    </cfRule>
  </conditionalFormatting>
  <conditionalFormatting sqref="BP39:BQ54">
    <cfRule type="cellIs" dxfId="414" priority="409" operator="lessThan">
      <formula>0</formula>
    </cfRule>
  </conditionalFormatting>
  <conditionalFormatting sqref="BP39:BQ54">
    <cfRule type="cellIs" dxfId="413" priority="408" operator="lessThan">
      <formula>0</formula>
    </cfRule>
  </conditionalFormatting>
  <conditionalFormatting sqref="BP39:BQ54">
    <cfRule type="cellIs" dxfId="412" priority="407" operator="lessThan">
      <formula>0</formula>
    </cfRule>
  </conditionalFormatting>
  <conditionalFormatting sqref="BP56:BQ60">
    <cfRule type="cellIs" dxfId="411" priority="406" operator="lessThan">
      <formula>0</formula>
    </cfRule>
  </conditionalFormatting>
  <conditionalFormatting sqref="BP56:BQ60">
    <cfRule type="cellIs" dxfId="410" priority="405" operator="lessThan">
      <formula>0</formula>
    </cfRule>
  </conditionalFormatting>
  <conditionalFormatting sqref="BP56:BQ60">
    <cfRule type="cellIs" dxfId="409" priority="404" operator="lessThan">
      <formula>0</formula>
    </cfRule>
  </conditionalFormatting>
  <conditionalFormatting sqref="BP56:BQ60">
    <cfRule type="cellIs" dxfId="408" priority="403" operator="lessThan">
      <formula>0</formula>
    </cfRule>
  </conditionalFormatting>
  <conditionalFormatting sqref="BP56:BQ60">
    <cfRule type="cellIs" dxfId="407" priority="402" operator="lessThan">
      <formula>0</formula>
    </cfRule>
  </conditionalFormatting>
  <conditionalFormatting sqref="BP56:BQ60">
    <cfRule type="cellIs" dxfId="406" priority="401" operator="lessThan">
      <formula>0</formula>
    </cfRule>
  </conditionalFormatting>
  <conditionalFormatting sqref="BP56:BQ60">
    <cfRule type="cellIs" dxfId="405" priority="400" operator="lessThan">
      <formula>0</formula>
    </cfRule>
  </conditionalFormatting>
  <conditionalFormatting sqref="BP56:BQ60">
    <cfRule type="cellIs" dxfId="404" priority="399" operator="lessThan">
      <formula>0</formula>
    </cfRule>
  </conditionalFormatting>
  <conditionalFormatting sqref="BP56:BQ60">
    <cfRule type="cellIs" dxfId="403" priority="398" operator="lessThan">
      <formula>0</formula>
    </cfRule>
  </conditionalFormatting>
  <conditionalFormatting sqref="BN11:BO24">
    <cfRule type="cellIs" dxfId="402" priority="397" operator="lessThan">
      <formula>0</formula>
    </cfRule>
  </conditionalFormatting>
  <conditionalFormatting sqref="BN26:BO32">
    <cfRule type="cellIs" dxfId="401" priority="396" operator="lessThan">
      <formula>0</formula>
    </cfRule>
  </conditionalFormatting>
  <conditionalFormatting sqref="BN26:BO32">
    <cfRule type="cellIs" dxfId="400" priority="395" operator="lessThan">
      <formula>0</formula>
    </cfRule>
  </conditionalFormatting>
  <conditionalFormatting sqref="BN26:BO32">
    <cfRule type="cellIs" dxfId="399" priority="394" operator="lessThan">
      <formula>0</formula>
    </cfRule>
  </conditionalFormatting>
  <conditionalFormatting sqref="BN34:BO37">
    <cfRule type="cellIs" dxfId="398" priority="393" operator="lessThan">
      <formula>0</formula>
    </cfRule>
  </conditionalFormatting>
  <conditionalFormatting sqref="BN34:BO37">
    <cfRule type="cellIs" dxfId="397" priority="392" operator="lessThan">
      <formula>0</formula>
    </cfRule>
  </conditionalFormatting>
  <conditionalFormatting sqref="BN34:BO37">
    <cfRule type="cellIs" dxfId="396" priority="391" operator="lessThan">
      <formula>0</formula>
    </cfRule>
  </conditionalFormatting>
  <conditionalFormatting sqref="BN34:BO37">
    <cfRule type="cellIs" dxfId="395" priority="390" operator="lessThan">
      <formula>0</formula>
    </cfRule>
  </conditionalFormatting>
  <conditionalFormatting sqref="BN34:BO37">
    <cfRule type="cellIs" dxfId="394" priority="389" operator="lessThan">
      <formula>0</formula>
    </cfRule>
  </conditionalFormatting>
  <conditionalFormatting sqref="BN39:BO54">
    <cfRule type="cellIs" dxfId="393" priority="388" operator="lessThan">
      <formula>0</formula>
    </cfRule>
  </conditionalFormatting>
  <conditionalFormatting sqref="BN39:BO54">
    <cfRule type="cellIs" dxfId="392" priority="387" operator="lessThan">
      <formula>0</formula>
    </cfRule>
  </conditionalFormatting>
  <conditionalFormatting sqref="BN39:BO54">
    <cfRule type="cellIs" dxfId="391" priority="386" operator="lessThan">
      <formula>0</formula>
    </cfRule>
  </conditionalFormatting>
  <conditionalFormatting sqref="BN39:BO54">
    <cfRule type="cellIs" dxfId="390" priority="385" operator="lessThan">
      <formula>0</formula>
    </cfRule>
  </conditionalFormatting>
  <conditionalFormatting sqref="BN39:BO54">
    <cfRule type="cellIs" dxfId="389" priority="384" operator="lessThan">
      <formula>0</formula>
    </cfRule>
  </conditionalFormatting>
  <conditionalFormatting sqref="BN39:BO54">
    <cfRule type="cellIs" dxfId="388" priority="383" operator="lessThan">
      <formula>0</formula>
    </cfRule>
  </conditionalFormatting>
  <conditionalFormatting sqref="BN39:BO54">
    <cfRule type="cellIs" dxfId="387" priority="382" operator="lessThan">
      <formula>0</formula>
    </cfRule>
  </conditionalFormatting>
  <conditionalFormatting sqref="BN56:BO60">
    <cfRule type="cellIs" dxfId="386" priority="381" operator="lessThan">
      <formula>0</formula>
    </cfRule>
  </conditionalFormatting>
  <conditionalFormatting sqref="BN56:BO60">
    <cfRule type="cellIs" dxfId="385" priority="380" operator="lessThan">
      <formula>0</formula>
    </cfRule>
  </conditionalFormatting>
  <conditionalFormatting sqref="BN56:BO60">
    <cfRule type="cellIs" dxfId="384" priority="379" operator="lessThan">
      <formula>0</formula>
    </cfRule>
  </conditionalFormatting>
  <conditionalFormatting sqref="BN56:BO60">
    <cfRule type="cellIs" dxfId="383" priority="378" operator="lessThan">
      <formula>0</formula>
    </cfRule>
  </conditionalFormatting>
  <conditionalFormatting sqref="BN56:BO60">
    <cfRule type="cellIs" dxfId="382" priority="377" operator="lessThan">
      <formula>0</formula>
    </cfRule>
  </conditionalFormatting>
  <conditionalFormatting sqref="BN56:BO60">
    <cfRule type="cellIs" dxfId="381" priority="376" operator="lessThan">
      <formula>0</formula>
    </cfRule>
  </conditionalFormatting>
  <conditionalFormatting sqref="BN56:BO60">
    <cfRule type="cellIs" dxfId="380" priority="375" operator="lessThan">
      <formula>0</formula>
    </cfRule>
  </conditionalFormatting>
  <conditionalFormatting sqref="BN56:BO60">
    <cfRule type="cellIs" dxfId="379" priority="374" operator="lessThan">
      <formula>0</formula>
    </cfRule>
  </conditionalFormatting>
  <conditionalFormatting sqref="BN56:BO60">
    <cfRule type="cellIs" dxfId="378" priority="373" operator="lessThan">
      <formula>0</formula>
    </cfRule>
  </conditionalFormatting>
  <conditionalFormatting sqref="BN11:BQ24">
    <cfRule type="cellIs" dxfId="377" priority="372" operator="lessThan">
      <formula>0</formula>
    </cfRule>
  </conditionalFormatting>
  <conditionalFormatting sqref="BN26:BQ32">
    <cfRule type="cellIs" dxfId="376" priority="371" operator="lessThan">
      <formula>0</formula>
    </cfRule>
  </conditionalFormatting>
  <conditionalFormatting sqref="BN26:BQ32">
    <cfRule type="cellIs" dxfId="375" priority="370" operator="lessThan">
      <formula>0</formula>
    </cfRule>
  </conditionalFormatting>
  <conditionalFormatting sqref="BP26:BQ32">
    <cfRule type="cellIs" dxfId="374" priority="369" operator="lessThan">
      <formula>0</formula>
    </cfRule>
  </conditionalFormatting>
  <conditionalFormatting sqref="BN26:BO32">
    <cfRule type="cellIs" dxfId="373" priority="368" operator="lessThan">
      <formula>0</formula>
    </cfRule>
  </conditionalFormatting>
  <conditionalFormatting sqref="BN26:BQ32">
    <cfRule type="cellIs" dxfId="372" priority="367" operator="lessThan">
      <formula>0</formula>
    </cfRule>
  </conditionalFormatting>
  <conditionalFormatting sqref="BN34:BQ37">
    <cfRule type="cellIs" dxfId="371" priority="366" operator="lessThan">
      <formula>0</formula>
    </cfRule>
  </conditionalFormatting>
  <conditionalFormatting sqref="BN34:BQ37">
    <cfRule type="cellIs" dxfId="370" priority="365" operator="lessThan">
      <formula>0</formula>
    </cfRule>
  </conditionalFormatting>
  <conditionalFormatting sqref="BP34:BQ37">
    <cfRule type="cellIs" dxfId="369" priority="364" operator="lessThan">
      <formula>0</formula>
    </cfRule>
  </conditionalFormatting>
  <conditionalFormatting sqref="BP34:BQ37">
    <cfRule type="cellIs" dxfId="368" priority="363" operator="lessThan">
      <formula>0</formula>
    </cfRule>
  </conditionalFormatting>
  <conditionalFormatting sqref="BP34:BQ37">
    <cfRule type="cellIs" dxfId="367" priority="362" operator="lessThan">
      <formula>0</formula>
    </cfRule>
  </conditionalFormatting>
  <conditionalFormatting sqref="BN34:BO37">
    <cfRule type="cellIs" dxfId="366" priority="361" operator="lessThan">
      <formula>0</formula>
    </cfRule>
  </conditionalFormatting>
  <conditionalFormatting sqref="BN34:BO37">
    <cfRule type="cellIs" dxfId="365" priority="360" operator="lessThan">
      <formula>0</formula>
    </cfRule>
  </conditionalFormatting>
  <conditionalFormatting sqref="BN34:BO37">
    <cfRule type="cellIs" dxfId="364" priority="359" operator="lessThan">
      <formula>0</formula>
    </cfRule>
  </conditionalFormatting>
  <conditionalFormatting sqref="BN34:BQ37">
    <cfRule type="cellIs" dxfId="363" priority="358" operator="lessThan">
      <formula>0</formula>
    </cfRule>
  </conditionalFormatting>
  <conditionalFormatting sqref="BN34:BQ37">
    <cfRule type="cellIs" dxfId="362" priority="357" operator="lessThan">
      <formula>0</formula>
    </cfRule>
  </conditionalFormatting>
  <conditionalFormatting sqref="BP34:BQ37">
    <cfRule type="cellIs" dxfId="361" priority="356" operator="lessThan">
      <formula>0</formula>
    </cfRule>
  </conditionalFormatting>
  <conditionalFormatting sqref="BN34:BO37">
    <cfRule type="cellIs" dxfId="360" priority="355" operator="lessThan">
      <formula>0</formula>
    </cfRule>
  </conditionalFormatting>
  <conditionalFormatting sqref="BN34:BQ37">
    <cfRule type="cellIs" dxfId="359" priority="354" operator="lessThan">
      <formula>0</formula>
    </cfRule>
  </conditionalFormatting>
  <conditionalFormatting sqref="BN39:BQ54">
    <cfRule type="cellIs" dxfId="358" priority="353" operator="lessThan">
      <formula>0</formula>
    </cfRule>
  </conditionalFormatting>
  <conditionalFormatting sqref="BN39:BQ54">
    <cfRule type="cellIs" dxfId="357" priority="352" operator="lessThan">
      <formula>0</formula>
    </cfRule>
  </conditionalFormatting>
  <conditionalFormatting sqref="BP39:BQ54">
    <cfRule type="cellIs" dxfId="356" priority="351" operator="lessThan">
      <formula>0</formula>
    </cfRule>
  </conditionalFormatting>
  <conditionalFormatting sqref="BP39:BQ54">
    <cfRule type="cellIs" dxfId="355" priority="350" operator="lessThan">
      <formula>0</formula>
    </cfRule>
  </conditionalFormatting>
  <conditionalFormatting sqref="BP39:BQ54">
    <cfRule type="cellIs" dxfId="354" priority="349" operator="lessThan">
      <formula>0</formula>
    </cfRule>
  </conditionalFormatting>
  <conditionalFormatting sqref="BP39:BQ54">
    <cfRule type="cellIs" dxfId="353" priority="348" operator="lessThan">
      <formula>0</formula>
    </cfRule>
  </conditionalFormatting>
  <conditionalFormatting sqref="BP39:BQ54">
    <cfRule type="cellIs" dxfId="352" priority="347" operator="lessThan">
      <formula>0</formula>
    </cfRule>
  </conditionalFormatting>
  <conditionalFormatting sqref="BN39:BO54">
    <cfRule type="cellIs" dxfId="351" priority="346" operator="lessThan">
      <formula>0</formula>
    </cfRule>
  </conditionalFormatting>
  <conditionalFormatting sqref="BN39:BO54">
    <cfRule type="cellIs" dxfId="350" priority="345" operator="lessThan">
      <formula>0</formula>
    </cfRule>
  </conditionalFormatting>
  <conditionalFormatting sqref="BN39:BO54">
    <cfRule type="cellIs" dxfId="349" priority="344" operator="lessThan">
      <formula>0</formula>
    </cfRule>
  </conditionalFormatting>
  <conditionalFormatting sqref="BN39:BO54">
    <cfRule type="cellIs" dxfId="348" priority="343" operator="lessThan">
      <formula>0</formula>
    </cfRule>
  </conditionalFormatting>
  <conditionalFormatting sqref="BN39:BO54">
    <cfRule type="cellIs" dxfId="347" priority="342" operator="lessThan">
      <formula>0</formula>
    </cfRule>
  </conditionalFormatting>
  <conditionalFormatting sqref="BN39:BQ54">
    <cfRule type="cellIs" dxfId="346" priority="341" operator="lessThan">
      <formula>0</formula>
    </cfRule>
  </conditionalFormatting>
  <conditionalFormatting sqref="BN39:BQ54">
    <cfRule type="cellIs" dxfId="345" priority="340" operator="lessThan">
      <formula>0</formula>
    </cfRule>
  </conditionalFormatting>
  <conditionalFormatting sqref="BP39:BQ54">
    <cfRule type="cellIs" dxfId="344" priority="339" operator="lessThan">
      <formula>0</formula>
    </cfRule>
  </conditionalFormatting>
  <conditionalFormatting sqref="BP39:BQ54">
    <cfRule type="cellIs" dxfId="343" priority="338" operator="lessThan">
      <formula>0</formula>
    </cfRule>
  </conditionalFormatting>
  <conditionalFormatting sqref="BP39:BQ54">
    <cfRule type="cellIs" dxfId="342" priority="337" operator="lessThan">
      <formula>0</formula>
    </cfRule>
  </conditionalFormatting>
  <conditionalFormatting sqref="BN39:BO54">
    <cfRule type="cellIs" dxfId="341" priority="336" operator="lessThan">
      <formula>0</formula>
    </cfRule>
  </conditionalFormatting>
  <conditionalFormatting sqref="BN39:BO54">
    <cfRule type="cellIs" dxfId="340" priority="335" operator="lessThan">
      <formula>0</formula>
    </cfRule>
  </conditionalFormatting>
  <conditionalFormatting sqref="BN39:BO54">
    <cfRule type="cellIs" dxfId="339" priority="334" operator="lessThan">
      <formula>0</formula>
    </cfRule>
  </conditionalFormatting>
  <conditionalFormatting sqref="BN39:BQ54">
    <cfRule type="cellIs" dxfId="338" priority="333" operator="lessThan">
      <formula>0</formula>
    </cfRule>
  </conditionalFormatting>
  <conditionalFormatting sqref="BN39:BQ54">
    <cfRule type="cellIs" dxfId="337" priority="332" operator="lessThan">
      <formula>0</formula>
    </cfRule>
  </conditionalFormatting>
  <conditionalFormatting sqref="BP39:BQ54">
    <cfRule type="cellIs" dxfId="336" priority="331" operator="lessThan">
      <formula>0</formula>
    </cfRule>
  </conditionalFormatting>
  <conditionalFormatting sqref="BN39:BO54">
    <cfRule type="cellIs" dxfId="335" priority="330" operator="lessThan">
      <formula>0</formula>
    </cfRule>
  </conditionalFormatting>
  <conditionalFormatting sqref="BN39:BQ54">
    <cfRule type="cellIs" dxfId="334" priority="329" operator="lessThan">
      <formula>0</formula>
    </cfRule>
  </conditionalFormatting>
  <conditionalFormatting sqref="BN56:BQ60">
    <cfRule type="cellIs" dxfId="333" priority="328" operator="lessThan">
      <formula>0</formula>
    </cfRule>
  </conditionalFormatting>
  <conditionalFormatting sqref="BN56:BQ60">
    <cfRule type="cellIs" dxfId="332" priority="327" operator="lessThan">
      <formula>0</formula>
    </cfRule>
  </conditionalFormatting>
  <conditionalFormatting sqref="BP56:BQ60">
    <cfRule type="cellIs" dxfId="331" priority="326" operator="lessThan">
      <formula>0</formula>
    </cfRule>
  </conditionalFormatting>
  <conditionalFormatting sqref="BP56:BQ60">
    <cfRule type="cellIs" dxfId="330" priority="325" operator="lessThan">
      <formula>0</formula>
    </cfRule>
  </conditionalFormatting>
  <conditionalFormatting sqref="BP56:BQ60">
    <cfRule type="cellIs" dxfId="329" priority="324" operator="lessThan">
      <formula>0</formula>
    </cfRule>
  </conditionalFormatting>
  <conditionalFormatting sqref="BP56:BQ60">
    <cfRule type="cellIs" dxfId="328" priority="323" operator="lessThan">
      <formula>0</formula>
    </cfRule>
  </conditionalFormatting>
  <conditionalFormatting sqref="BP56:BQ60">
    <cfRule type="cellIs" dxfId="327" priority="322" operator="lessThan">
      <formula>0</formula>
    </cfRule>
  </conditionalFormatting>
  <conditionalFormatting sqref="BP56:BQ60">
    <cfRule type="cellIs" dxfId="326" priority="321" operator="lessThan">
      <formula>0</formula>
    </cfRule>
  </conditionalFormatting>
  <conditionalFormatting sqref="BP56:BQ60">
    <cfRule type="cellIs" dxfId="325" priority="320" operator="lessThan">
      <formula>0</formula>
    </cfRule>
  </conditionalFormatting>
  <conditionalFormatting sqref="BN56:BO60">
    <cfRule type="cellIs" dxfId="324" priority="319" operator="lessThan">
      <formula>0</formula>
    </cfRule>
  </conditionalFormatting>
  <conditionalFormatting sqref="BN56:BO60">
    <cfRule type="cellIs" dxfId="323" priority="318" operator="lessThan">
      <formula>0</formula>
    </cfRule>
  </conditionalFormatting>
  <conditionalFormatting sqref="BN56:BO60">
    <cfRule type="cellIs" dxfId="322" priority="317" operator="lessThan">
      <formula>0</formula>
    </cfRule>
  </conditionalFormatting>
  <conditionalFormatting sqref="BN56:BO60">
    <cfRule type="cellIs" dxfId="321" priority="316" operator="lessThan">
      <formula>0</formula>
    </cfRule>
  </conditionalFormatting>
  <conditionalFormatting sqref="BN56:BO60">
    <cfRule type="cellIs" dxfId="320" priority="315" operator="lessThan">
      <formula>0</formula>
    </cfRule>
  </conditionalFormatting>
  <conditionalFormatting sqref="BN56:BO60">
    <cfRule type="cellIs" dxfId="319" priority="314" operator="lessThan">
      <formula>0</formula>
    </cfRule>
  </conditionalFormatting>
  <conditionalFormatting sqref="BN56:BO60">
    <cfRule type="cellIs" dxfId="318" priority="313" operator="lessThan">
      <formula>0</formula>
    </cfRule>
  </conditionalFormatting>
  <conditionalFormatting sqref="BN56:BQ60">
    <cfRule type="cellIs" dxfId="317" priority="312" operator="lessThan">
      <formula>0</formula>
    </cfRule>
  </conditionalFormatting>
  <conditionalFormatting sqref="BN56:BQ60">
    <cfRule type="cellIs" dxfId="316" priority="311" operator="lessThan">
      <formula>0</formula>
    </cfRule>
  </conditionalFormatting>
  <conditionalFormatting sqref="BP56:BQ60">
    <cfRule type="cellIs" dxfId="315" priority="310" operator="lessThan">
      <formula>0</formula>
    </cfRule>
  </conditionalFormatting>
  <conditionalFormatting sqref="BP56:BQ60">
    <cfRule type="cellIs" dxfId="314" priority="309" operator="lessThan">
      <formula>0</formula>
    </cfRule>
  </conditionalFormatting>
  <conditionalFormatting sqref="BP56:BQ60">
    <cfRule type="cellIs" dxfId="313" priority="308" operator="lessThan">
      <formula>0</formula>
    </cfRule>
  </conditionalFormatting>
  <conditionalFormatting sqref="BP56:BQ60">
    <cfRule type="cellIs" dxfId="312" priority="307" operator="lessThan">
      <formula>0</formula>
    </cfRule>
  </conditionalFormatting>
  <conditionalFormatting sqref="BP56:BQ60">
    <cfRule type="cellIs" dxfId="311" priority="306" operator="lessThan">
      <formula>0</formula>
    </cfRule>
  </conditionalFormatting>
  <conditionalFormatting sqref="BN56:BO60">
    <cfRule type="cellIs" dxfId="310" priority="305" operator="lessThan">
      <formula>0</formula>
    </cfRule>
  </conditionalFormatting>
  <conditionalFormatting sqref="BN56:BO60">
    <cfRule type="cellIs" dxfId="309" priority="304" operator="lessThan">
      <formula>0</formula>
    </cfRule>
  </conditionalFormatting>
  <conditionalFormatting sqref="BN56:BO60">
    <cfRule type="cellIs" dxfId="308" priority="303" operator="lessThan">
      <formula>0</formula>
    </cfRule>
  </conditionalFormatting>
  <conditionalFormatting sqref="BN56:BO60">
    <cfRule type="cellIs" dxfId="307" priority="302" operator="lessThan">
      <formula>0</formula>
    </cfRule>
  </conditionalFormatting>
  <conditionalFormatting sqref="BN56:BO60">
    <cfRule type="cellIs" dxfId="306" priority="301" operator="lessThan">
      <formula>0</formula>
    </cfRule>
  </conditionalFormatting>
  <conditionalFormatting sqref="BN56:BQ60">
    <cfRule type="cellIs" dxfId="305" priority="300" operator="lessThan">
      <formula>0</formula>
    </cfRule>
  </conditionalFormatting>
  <conditionalFormatting sqref="BN56:BQ60">
    <cfRule type="cellIs" dxfId="304" priority="299" operator="lessThan">
      <formula>0</formula>
    </cfRule>
  </conditionalFormatting>
  <conditionalFormatting sqref="BP56:BQ60">
    <cfRule type="cellIs" dxfId="303" priority="298" operator="lessThan">
      <formula>0</formula>
    </cfRule>
  </conditionalFormatting>
  <conditionalFormatting sqref="BP56:BQ60">
    <cfRule type="cellIs" dxfId="302" priority="297" operator="lessThan">
      <formula>0</formula>
    </cfRule>
  </conditionalFormatting>
  <conditionalFormatting sqref="BP56:BQ60">
    <cfRule type="cellIs" dxfId="301" priority="296" operator="lessThan">
      <formula>0</formula>
    </cfRule>
  </conditionalFormatting>
  <conditionalFormatting sqref="BN56:BO60">
    <cfRule type="cellIs" dxfId="300" priority="295" operator="lessThan">
      <formula>0</formula>
    </cfRule>
  </conditionalFormatting>
  <conditionalFormatting sqref="BN56:BO60">
    <cfRule type="cellIs" dxfId="299" priority="294" operator="lessThan">
      <formula>0</formula>
    </cfRule>
  </conditionalFormatting>
  <conditionalFormatting sqref="BN56:BO60">
    <cfRule type="cellIs" dxfId="298" priority="293" operator="lessThan">
      <formula>0</formula>
    </cfRule>
  </conditionalFormatting>
  <conditionalFormatting sqref="BN56:BQ60">
    <cfRule type="cellIs" dxfId="297" priority="292" operator="lessThan">
      <formula>0</formula>
    </cfRule>
  </conditionalFormatting>
  <conditionalFormatting sqref="BN56:BQ60">
    <cfRule type="cellIs" dxfId="296" priority="291" operator="lessThan">
      <formula>0</formula>
    </cfRule>
  </conditionalFormatting>
  <conditionalFormatting sqref="BP56:BQ60">
    <cfRule type="cellIs" dxfId="295" priority="290" operator="lessThan">
      <formula>0</formula>
    </cfRule>
  </conditionalFormatting>
  <conditionalFormatting sqref="BN56:BO60">
    <cfRule type="cellIs" dxfId="294" priority="289" operator="lessThan">
      <formula>0</formula>
    </cfRule>
  </conditionalFormatting>
  <conditionalFormatting sqref="BN56:BQ60">
    <cfRule type="cellIs" dxfId="293" priority="288" operator="lessThan">
      <formula>0</formula>
    </cfRule>
  </conditionalFormatting>
  <conditionalFormatting sqref="C11:N24">
    <cfRule type="cellIs" dxfId="292" priority="287" operator="lessThan">
      <formula>0</formula>
    </cfRule>
  </conditionalFormatting>
  <conditionalFormatting sqref="C26:C32">
    <cfRule type="cellIs" dxfId="291" priority="286" operator="lessThan">
      <formula>0</formula>
    </cfRule>
  </conditionalFormatting>
  <conditionalFormatting sqref="C26:C32">
    <cfRule type="cellIs" dxfId="290" priority="285" operator="lessThan">
      <formula>0</formula>
    </cfRule>
  </conditionalFormatting>
  <conditionalFormatting sqref="C26:N32">
    <cfRule type="cellIs" dxfId="289" priority="284" operator="lessThan">
      <formula>0</formula>
    </cfRule>
  </conditionalFormatting>
  <conditionalFormatting sqref="C26:C32">
    <cfRule type="cellIs" dxfId="288" priority="283" operator="lessThan">
      <formula>0</formula>
    </cfRule>
  </conditionalFormatting>
  <conditionalFormatting sqref="C26:C32">
    <cfRule type="cellIs" dxfId="287" priority="282" operator="lessThan">
      <formula>0</formula>
    </cfRule>
  </conditionalFormatting>
  <conditionalFormatting sqref="C26:N32">
    <cfRule type="cellIs" dxfId="286" priority="281" operator="lessThan">
      <formula>0</formula>
    </cfRule>
  </conditionalFormatting>
  <conditionalFormatting sqref="C26:N32">
    <cfRule type="cellIs" dxfId="285" priority="280" operator="lessThan">
      <formula>0</formula>
    </cfRule>
  </conditionalFormatting>
  <conditionalFormatting sqref="C34:N37">
    <cfRule type="cellIs" dxfId="284" priority="279" operator="lessThan">
      <formula>0</formula>
    </cfRule>
  </conditionalFormatting>
  <conditionalFormatting sqref="C34:C37">
    <cfRule type="cellIs" dxfId="283" priority="278" operator="lessThan">
      <formula>0</formula>
    </cfRule>
  </conditionalFormatting>
  <conditionalFormatting sqref="C34:C37">
    <cfRule type="cellIs" dxfId="282" priority="277" operator="lessThan">
      <formula>0</formula>
    </cfRule>
  </conditionalFormatting>
  <conditionalFormatting sqref="C34:N37">
    <cfRule type="cellIs" dxfId="281" priority="276" operator="lessThan">
      <formula>0</formula>
    </cfRule>
  </conditionalFormatting>
  <conditionalFormatting sqref="C34:C37">
    <cfRule type="cellIs" dxfId="280" priority="275" operator="lessThan">
      <formula>0</formula>
    </cfRule>
  </conditionalFormatting>
  <conditionalFormatting sqref="C34:C37">
    <cfRule type="cellIs" dxfId="279" priority="274" operator="lessThan">
      <formula>0</formula>
    </cfRule>
  </conditionalFormatting>
  <conditionalFormatting sqref="C34:N37">
    <cfRule type="cellIs" dxfId="278" priority="273" operator="lessThan">
      <formula>0</formula>
    </cfRule>
  </conditionalFormatting>
  <conditionalFormatting sqref="C34:C37">
    <cfRule type="cellIs" dxfId="277" priority="272" operator="lessThan">
      <formula>0</formula>
    </cfRule>
  </conditionalFormatting>
  <conditionalFormatting sqref="C34:C37">
    <cfRule type="cellIs" dxfId="276" priority="271" operator="lessThan">
      <formula>0</formula>
    </cfRule>
  </conditionalFormatting>
  <conditionalFormatting sqref="C34:N37">
    <cfRule type="cellIs" dxfId="275" priority="270" operator="lessThan">
      <formula>0</formula>
    </cfRule>
  </conditionalFormatting>
  <conditionalFormatting sqref="C34:N37">
    <cfRule type="cellIs" dxfId="274" priority="269" operator="lessThan">
      <formula>0</formula>
    </cfRule>
  </conditionalFormatting>
  <conditionalFormatting sqref="C39:C54">
    <cfRule type="cellIs" dxfId="273" priority="268" operator="lessThan">
      <formula>0</formula>
    </cfRule>
  </conditionalFormatting>
  <conditionalFormatting sqref="C39:N54">
    <cfRule type="cellIs" dxfId="272" priority="267" operator="lessThan">
      <formula>0</formula>
    </cfRule>
  </conditionalFormatting>
  <conditionalFormatting sqref="C39:C54">
    <cfRule type="cellIs" dxfId="271" priority="266" operator="lessThan">
      <formula>0</formula>
    </cfRule>
  </conditionalFormatting>
  <conditionalFormatting sqref="C39:C54">
    <cfRule type="cellIs" dxfId="270" priority="265" operator="lessThan">
      <formula>0</formula>
    </cfRule>
  </conditionalFormatting>
  <conditionalFormatting sqref="C39:N54">
    <cfRule type="cellIs" dxfId="269" priority="264" operator="lessThan">
      <formula>0</formula>
    </cfRule>
  </conditionalFormatting>
  <conditionalFormatting sqref="C39:N54">
    <cfRule type="cellIs" dxfId="268" priority="263" operator="lessThan">
      <formula>0</formula>
    </cfRule>
  </conditionalFormatting>
  <conditionalFormatting sqref="C39:C54">
    <cfRule type="cellIs" dxfId="267" priority="262" operator="lessThan">
      <formula>0</formula>
    </cfRule>
  </conditionalFormatting>
  <conditionalFormatting sqref="C39:C54">
    <cfRule type="cellIs" dxfId="266" priority="261" operator="lessThan">
      <formula>0</formula>
    </cfRule>
  </conditionalFormatting>
  <conditionalFormatting sqref="C39:N54">
    <cfRule type="cellIs" dxfId="265" priority="260" operator="lessThan">
      <formula>0</formula>
    </cfRule>
  </conditionalFormatting>
  <conditionalFormatting sqref="C39:C54">
    <cfRule type="cellIs" dxfId="264" priority="259" operator="lessThan">
      <formula>0</formula>
    </cfRule>
  </conditionalFormatting>
  <conditionalFormatting sqref="C39:C54">
    <cfRule type="cellIs" dxfId="263" priority="258" operator="lessThan">
      <formula>0</formula>
    </cfRule>
  </conditionalFormatting>
  <conditionalFormatting sqref="C39:N54">
    <cfRule type="cellIs" dxfId="262" priority="257" operator="lessThan">
      <formula>0</formula>
    </cfRule>
  </conditionalFormatting>
  <conditionalFormatting sqref="C39:C54">
    <cfRule type="cellIs" dxfId="261" priority="256" operator="lessThan">
      <formula>0</formula>
    </cfRule>
  </conditionalFormatting>
  <conditionalFormatting sqref="C39:C54">
    <cfRule type="cellIs" dxfId="260" priority="255" operator="lessThan">
      <formula>0</formula>
    </cfRule>
  </conditionalFormatting>
  <conditionalFormatting sqref="C39:N54">
    <cfRule type="cellIs" dxfId="259" priority="254" operator="lessThan">
      <formula>0</formula>
    </cfRule>
  </conditionalFormatting>
  <conditionalFormatting sqref="C39:N54">
    <cfRule type="cellIs" dxfId="258" priority="253" operator="lessThan">
      <formula>0</formula>
    </cfRule>
  </conditionalFormatting>
  <conditionalFormatting sqref="C56:C60">
    <cfRule type="cellIs" dxfId="257" priority="252" operator="lessThan">
      <formula>0</formula>
    </cfRule>
  </conditionalFormatting>
  <conditionalFormatting sqref="C56:C60">
    <cfRule type="cellIs" dxfId="256" priority="251" operator="lessThan">
      <formula>0</formula>
    </cfRule>
  </conditionalFormatting>
  <conditionalFormatting sqref="C56:C60">
    <cfRule type="cellIs" dxfId="255" priority="250" operator="lessThan">
      <formula>0</formula>
    </cfRule>
  </conditionalFormatting>
  <conditionalFormatting sqref="C56:N60">
    <cfRule type="cellIs" dxfId="254" priority="249" operator="lessThan">
      <formula>0</formula>
    </cfRule>
  </conditionalFormatting>
  <conditionalFormatting sqref="C56:C60">
    <cfRule type="cellIs" dxfId="253" priority="248" operator="lessThan">
      <formula>0</formula>
    </cfRule>
  </conditionalFormatting>
  <conditionalFormatting sqref="C56:C60">
    <cfRule type="cellIs" dxfId="252" priority="247" operator="lessThan">
      <formula>0</formula>
    </cfRule>
  </conditionalFormatting>
  <conditionalFormatting sqref="C56:N60">
    <cfRule type="cellIs" dxfId="251" priority="246" operator="lessThan">
      <formula>0</formula>
    </cfRule>
  </conditionalFormatting>
  <conditionalFormatting sqref="C56:C60">
    <cfRule type="cellIs" dxfId="250" priority="245" operator="lessThan">
      <formula>0</formula>
    </cfRule>
  </conditionalFormatting>
  <conditionalFormatting sqref="C56:N60">
    <cfRule type="cellIs" dxfId="249" priority="244" operator="lessThan">
      <formula>0</formula>
    </cfRule>
  </conditionalFormatting>
  <conditionalFormatting sqref="C56:C60">
    <cfRule type="cellIs" dxfId="248" priority="243" operator="lessThan">
      <formula>0</formula>
    </cfRule>
  </conditionalFormatting>
  <conditionalFormatting sqref="C56:C60">
    <cfRule type="cellIs" dxfId="247" priority="242" operator="lessThan">
      <formula>0</formula>
    </cfRule>
  </conditionalFormatting>
  <conditionalFormatting sqref="C56:N60">
    <cfRule type="cellIs" dxfId="246" priority="241" operator="lessThan">
      <formula>0</formula>
    </cfRule>
  </conditionalFormatting>
  <conditionalFormatting sqref="C56:N60">
    <cfRule type="cellIs" dxfId="245" priority="240" operator="lessThan">
      <formula>0</formula>
    </cfRule>
  </conditionalFormatting>
  <conditionalFormatting sqref="C56:C60">
    <cfRule type="cellIs" dxfId="244" priority="239" operator="lessThan">
      <formula>0</formula>
    </cfRule>
  </conditionalFormatting>
  <conditionalFormatting sqref="C56:C60">
    <cfRule type="cellIs" dxfId="243" priority="238" operator="lessThan">
      <formula>0</formula>
    </cfRule>
  </conditionalFormatting>
  <conditionalFormatting sqref="C56:N60">
    <cfRule type="cellIs" dxfId="242" priority="237" operator="lessThan">
      <formula>0</formula>
    </cfRule>
  </conditionalFormatting>
  <conditionalFormatting sqref="C56:C60">
    <cfRule type="cellIs" dxfId="241" priority="236" operator="lessThan">
      <formula>0</formula>
    </cfRule>
  </conditionalFormatting>
  <conditionalFormatting sqref="C56:C60">
    <cfRule type="cellIs" dxfId="240" priority="235" operator="lessThan">
      <formula>0</formula>
    </cfRule>
  </conditionalFormatting>
  <conditionalFormatting sqref="C56:N60">
    <cfRule type="cellIs" dxfId="239" priority="234" operator="lessThan">
      <formula>0</formula>
    </cfRule>
  </conditionalFormatting>
  <conditionalFormatting sqref="C56:C60">
    <cfRule type="cellIs" dxfId="238" priority="233" operator="lessThan">
      <formula>0</formula>
    </cfRule>
  </conditionalFormatting>
  <conditionalFormatting sqref="C56:C60">
    <cfRule type="cellIs" dxfId="237" priority="232" operator="lessThan">
      <formula>0</formula>
    </cfRule>
  </conditionalFormatting>
  <conditionalFormatting sqref="C56:N60">
    <cfRule type="cellIs" dxfId="236" priority="231" operator="lessThan">
      <formula>0</formula>
    </cfRule>
  </conditionalFormatting>
  <conditionalFormatting sqref="C56:N60">
    <cfRule type="cellIs" dxfId="235" priority="230" operator="lessThan">
      <formula>0</formula>
    </cfRule>
  </conditionalFormatting>
  <conditionalFormatting sqref="U26:AE32">
    <cfRule type="cellIs" dxfId="234" priority="229" operator="lessThan">
      <formula>0</formula>
    </cfRule>
  </conditionalFormatting>
  <conditionalFormatting sqref="U26:AE32">
    <cfRule type="cellIs" dxfId="233" priority="228" operator="lessThan">
      <formula>0</formula>
    </cfRule>
  </conditionalFormatting>
  <conditionalFormatting sqref="U34:AE37">
    <cfRule type="cellIs" dxfId="232" priority="227" operator="lessThan">
      <formula>0</formula>
    </cfRule>
  </conditionalFormatting>
  <conditionalFormatting sqref="U34:AE37">
    <cfRule type="cellIs" dxfId="231" priority="226" operator="lessThan">
      <formula>0</formula>
    </cfRule>
  </conditionalFormatting>
  <conditionalFormatting sqref="U34:AE37">
    <cfRule type="cellIs" dxfId="230" priority="225" operator="lessThan">
      <formula>0</formula>
    </cfRule>
  </conditionalFormatting>
  <conditionalFormatting sqref="U34:AE37">
    <cfRule type="cellIs" dxfId="229" priority="224" operator="lessThan">
      <formula>0</formula>
    </cfRule>
  </conditionalFormatting>
  <conditionalFormatting sqref="U39:AE54">
    <cfRule type="cellIs" dxfId="228" priority="223" operator="lessThan">
      <formula>0</formula>
    </cfRule>
  </conditionalFormatting>
  <conditionalFormatting sqref="U39:AE54">
    <cfRule type="cellIs" dxfId="227" priority="222" operator="lessThan">
      <formula>0</formula>
    </cfRule>
  </conditionalFormatting>
  <conditionalFormatting sqref="U39:AE54">
    <cfRule type="cellIs" dxfId="226" priority="221" operator="lessThan">
      <formula>0</formula>
    </cfRule>
  </conditionalFormatting>
  <conditionalFormatting sqref="U39:AE54">
    <cfRule type="cellIs" dxfId="225" priority="220" operator="lessThan">
      <formula>0</formula>
    </cfRule>
  </conditionalFormatting>
  <conditionalFormatting sqref="U39:AE54">
    <cfRule type="cellIs" dxfId="224" priority="219" operator="lessThan">
      <formula>0</formula>
    </cfRule>
  </conditionalFormatting>
  <conditionalFormatting sqref="U39:AE54">
    <cfRule type="cellIs" dxfId="223" priority="218" operator="lessThan">
      <formula>0</formula>
    </cfRule>
  </conditionalFormatting>
  <conditionalFormatting sqref="U56:AE60">
    <cfRule type="cellIs" dxfId="222" priority="217" operator="lessThan">
      <formula>0</formula>
    </cfRule>
  </conditionalFormatting>
  <conditionalFormatting sqref="U56:AE60">
    <cfRule type="cellIs" dxfId="221" priority="216" operator="lessThan">
      <formula>0</formula>
    </cfRule>
  </conditionalFormatting>
  <conditionalFormatting sqref="U56:AE60">
    <cfRule type="cellIs" dxfId="220" priority="215" operator="lessThan">
      <formula>0</formula>
    </cfRule>
  </conditionalFormatting>
  <conditionalFormatting sqref="U56:AE60">
    <cfRule type="cellIs" dxfId="219" priority="214" operator="lessThan">
      <formula>0</formula>
    </cfRule>
  </conditionalFormatting>
  <conditionalFormatting sqref="U56:AE60">
    <cfRule type="cellIs" dxfId="218" priority="213" operator="lessThan">
      <formula>0</formula>
    </cfRule>
  </conditionalFormatting>
  <conditionalFormatting sqref="U56:AE60">
    <cfRule type="cellIs" dxfId="217" priority="212" operator="lessThan">
      <formula>0</formula>
    </cfRule>
  </conditionalFormatting>
  <conditionalFormatting sqref="U56:AE60">
    <cfRule type="cellIs" dxfId="216" priority="211" operator="lessThan">
      <formula>0</formula>
    </cfRule>
  </conditionalFormatting>
  <conditionalFormatting sqref="U56:AE60">
    <cfRule type="cellIs" dxfId="215" priority="210" operator="lessThan">
      <formula>0</formula>
    </cfRule>
  </conditionalFormatting>
  <conditionalFormatting sqref="AK22:AV22 AL11:AV24">
    <cfRule type="cellIs" dxfId="214" priority="209" operator="lessThan">
      <formula>0</formula>
    </cfRule>
  </conditionalFormatting>
  <conditionalFormatting sqref="AK22:AV22 AL11:AV24">
    <cfRule type="cellIs" dxfId="213" priority="208" operator="lessThan">
      <formula>0</formula>
    </cfRule>
  </conditionalFormatting>
  <conditionalFormatting sqref="AK22:AV22">
    <cfRule type="cellIs" dxfId="212" priority="207" operator="lessThan">
      <formula>0</formula>
    </cfRule>
  </conditionalFormatting>
  <conditionalFormatting sqref="AL23:AV23">
    <cfRule type="cellIs" dxfId="211" priority="206" operator="lessThan">
      <formula>0</formula>
    </cfRule>
  </conditionalFormatting>
  <conditionalFormatting sqref="AL24:AV24">
    <cfRule type="cellIs" dxfId="210" priority="205" operator="lessThan">
      <formula>0</formula>
    </cfRule>
  </conditionalFormatting>
  <conditionalFormatting sqref="AL26:AV32">
    <cfRule type="cellIs" dxfId="209" priority="204" operator="lessThan">
      <formula>0</formula>
    </cfRule>
  </conditionalFormatting>
  <conditionalFormatting sqref="AL26:AV32">
    <cfRule type="cellIs" dxfId="208" priority="203" operator="lessThan">
      <formula>0</formula>
    </cfRule>
  </conditionalFormatting>
  <conditionalFormatting sqref="AL26:AV32">
    <cfRule type="cellIs" dxfId="207" priority="202" operator="lessThan">
      <formula>0</formula>
    </cfRule>
  </conditionalFormatting>
  <conditionalFormatting sqref="AL26:AV32">
    <cfRule type="cellIs" dxfId="206" priority="201" operator="lessThan">
      <formula>0</formula>
    </cfRule>
  </conditionalFormatting>
  <conditionalFormatting sqref="AL34:AV37">
    <cfRule type="cellIs" dxfId="205" priority="200" operator="lessThan">
      <formula>0</formula>
    </cfRule>
  </conditionalFormatting>
  <conditionalFormatting sqref="AL34:AV37">
    <cfRule type="cellIs" dxfId="204" priority="199" operator="lessThan">
      <formula>0</formula>
    </cfRule>
  </conditionalFormatting>
  <conditionalFormatting sqref="AL34:AV37">
    <cfRule type="cellIs" dxfId="203" priority="198" operator="lessThan">
      <formula>0</formula>
    </cfRule>
  </conditionalFormatting>
  <conditionalFormatting sqref="AL34:AV37">
    <cfRule type="cellIs" dxfId="202" priority="197" operator="lessThan">
      <formula>0</formula>
    </cfRule>
  </conditionalFormatting>
  <conditionalFormatting sqref="AL34:AV37">
    <cfRule type="cellIs" dxfId="201" priority="196" operator="lessThan">
      <formula>0</formula>
    </cfRule>
  </conditionalFormatting>
  <conditionalFormatting sqref="AL34:AV37">
    <cfRule type="cellIs" dxfId="200" priority="195" operator="lessThan">
      <formula>0</formula>
    </cfRule>
  </conditionalFormatting>
  <conditionalFormatting sqref="AL39:AV54">
    <cfRule type="cellIs" dxfId="199" priority="194" operator="lessThan">
      <formula>0</formula>
    </cfRule>
  </conditionalFormatting>
  <conditionalFormatting sqref="AL39:AV54">
    <cfRule type="cellIs" dxfId="198" priority="193" operator="lessThan">
      <formula>0</formula>
    </cfRule>
  </conditionalFormatting>
  <conditionalFormatting sqref="AL39:AV54">
    <cfRule type="cellIs" dxfId="197" priority="192" operator="lessThan">
      <formula>0</formula>
    </cfRule>
  </conditionalFormatting>
  <conditionalFormatting sqref="AL39:AV54">
    <cfRule type="cellIs" dxfId="196" priority="191" operator="lessThan">
      <formula>0</formula>
    </cfRule>
  </conditionalFormatting>
  <conditionalFormatting sqref="AL39:AV54">
    <cfRule type="cellIs" dxfId="195" priority="190" operator="lessThan">
      <formula>0</formula>
    </cfRule>
  </conditionalFormatting>
  <conditionalFormatting sqref="AL39:AV54">
    <cfRule type="cellIs" dxfId="194" priority="189" operator="lessThan">
      <formula>0</formula>
    </cfRule>
  </conditionalFormatting>
  <conditionalFormatting sqref="AL39:AV54">
    <cfRule type="cellIs" dxfId="193" priority="188" operator="lessThan">
      <formula>0</formula>
    </cfRule>
  </conditionalFormatting>
  <conditionalFormatting sqref="AL39:AV54">
    <cfRule type="cellIs" dxfId="192" priority="187" operator="lessThan">
      <formula>0</formula>
    </cfRule>
  </conditionalFormatting>
  <conditionalFormatting sqref="AL56:AV60">
    <cfRule type="cellIs" dxfId="191" priority="186" operator="lessThan">
      <formula>0</formula>
    </cfRule>
  </conditionalFormatting>
  <conditionalFormatting sqref="AL56:AV60">
    <cfRule type="cellIs" dxfId="190" priority="185" operator="lessThan">
      <formula>0</formula>
    </cfRule>
  </conditionalFormatting>
  <conditionalFormatting sqref="AL56:AV60">
    <cfRule type="cellIs" dxfId="189" priority="184" operator="lessThan">
      <formula>0</formula>
    </cfRule>
  </conditionalFormatting>
  <conditionalFormatting sqref="AL56:AV60">
    <cfRule type="cellIs" dxfId="188" priority="183" operator="lessThan">
      <formula>0</formula>
    </cfRule>
  </conditionalFormatting>
  <conditionalFormatting sqref="AL56:AV60">
    <cfRule type="cellIs" dxfId="187" priority="182" operator="lessThan">
      <formula>0</formula>
    </cfRule>
  </conditionalFormatting>
  <conditionalFormatting sqref="AL56:AV60">
    <cfRule type="cellIs" dxfId="186" priority="181" operator="lessThan">
      <formula>0</formula>
    </cfRule>
  </conditionalFormatting>
  <conditionalFormatting sqref="AL56:AV60">
    <cfRule type="cellIs" dxfId="185" priority="180" operator="lessThan">
      <formula>0</formula>
    </cfRule>
  </conditionalFormatting>
  <conditionalFormatting sqref="AL56:AV60">
    <cfRule type="cellIs" dxfId="184" priority="179" operator="lessThan">
      <formula>0</formula>
    </cfRule>
  </conditionalFormatting>
  <conditionalFormatting sqref="AL56:AV60">
    <cfRule type="cellIs" dxfId="183" priority="178" operator="lessThan">
      <formula>0</formula>
    </cfRule>
  </conditionalFormatting>
  <conditionalFormatting sqref="AL56:AV60">
    <cfRule type="cellIs" dxfId="182" priority="177" operator="lessThan">
      <formula>0</formula>
    </cfRule>
  </conditionalFormatting>
  <conditionalFormatting sqref="BB4:BM60">
    <cfRule type="cellIs" dxfId="181" priority="176" operator="lessThan">
      <formula>0</formula>
    </cfRule>
  </conditionalFormatting>
  <conditionalFormatting sqref="BB24:BB25 BC25:BM25">
    <cfRule type="cellIs" dxfId="180" priority="175" operator="lessThan">
      <formula>0</formula>
    </cfRule>
  </conditionalFormatting>
  <conditionalFormatting sqref="BB51:BB52 BB9:BM10 BB4:BM5 BB33:BB38 BC33:BM33 BC38:BM38 BB55:BM55 BB58:BB60">
    <cfRule type="cellIs" dxfId="179" priority="174" operator="lessThan">
      <formula>0</formula>
    </cfRule>
  </conditionalFormatting>
  <conditionalFormatting sqref="BB20:BB23 BC22:BM22">
    <cfRule type="cellIs" dxfId="178" priority="173" operator="lessThan">
      <formula>0</formula>
    </cfRule>
  </conditionalFormatting>
  <conditionalFormatting sqref="BB26:BB32 BC32:BM32">
    <cfRule type="cellIs" dxfId="177" priority="172" operator="lessThan">
      <formula>0</formula>
    </cfRule>
  </conditionalFormatting>
  <conditionalFormatting sqref="BB6:BM8">
    <cfRule type="cellIs" dxfId="176" priority="171" operator="lessThan">
      <formula>0</formula>
    </cfRule>
  </conditionalFormatting>
  <conditionalFormatting sqref="BB17:BB19">
    <cfRule type="cellIs" dxfId="175" priority="170" operator="lessThan">
      <formula>0</formula>
    </cfRule>
  </conditionalFormatting>
  <conditionalFormatting sqref="BB11:BB21">
    <cfRule type="cellIs" dxfId="174" priority="169" operator="lessThan">
      <formula>0</formula>
    </cfRule>
  </conditionalFormatting>
  <conditionalFormatting sqref="BB56:BB60">
    <cfRule type="cellIs" dxfId="173" priority="168" operator="lessThan">
      <formula>0</formula>
    </cfRule>
  </conditionalFormatting>
  <conditionalFormatting sqref="BB53">
    <cfRule type="cellIs" dxfId="172" priority="167" operator="lessThan">
      <formula>0</formula>
    </cfRule>
  </conditionalFormatting>
  <conditionalFormatting sqref="BB54">
    <cfRule type="cellIs" dxfId="171" priority="166" operator="lessThan">
      <formula>0</formula>
    </cfRule>
  </conditionalFormatting>
  <conditionalFormatting sqref="BB39:BB54">
    <cfRule type="cellIs" dxfId="170" priority="165" operator="lessThan">
      <formula>0</formula>
    </cfRule>
  </conditionalFormatting>
  <conditionalFormatting sqref="BB50">
    <cfRule type="cellIs" dxfId="169" priority="164" operator="lessThan">
      <formula>0</formula>
    </cfRule>
  </conditionalFormatting>
  <conditionalFormatting sqref="BB11:BM21">
    <cfRule type="cellIs" dxfId="168" priority="163" operator="lessThan">
      <formula>0</formula>
    </cfRule>
  </conditionalFormatting>
  <conditionalFormatting sqref="BB22:BM22">
    <cfRule type="cellIs" dxfId="167" priority="162" operator="lessThan">
      <formula>0</formula>
    </cfRule>
  </conditionalFormatting>
  <conditionalFormatting sqref="BB22:BM22">
    <cfRule type="cellIs" dxfId="166" priority="161" operator="lessThan">
      <formula>0</formula>
    </cfRule>
  </conditionalFormatting>
  <conditionalFormatting sqref="BB23">
    <cfRule type="cellIs" dxfId="165" priority="160" operator="lessThan">
      <formula>0</formula>
    </cfRule>
  </conditionalFormatting>
  <conditionalFormatting sqref="BB23:BM23">
    <cfRule type="cellIs" dxfId="164" priority="159" operator="lessThan">
      <formula>0</formula>
    </cfRule>
  </conditionalFormatting>
  <conditionalFormatting sqref="BB24">
    <cfRule type="cellIs" dxfId="163" priority="158" operator="lessThan">
      <formula>0</formula>
    </cfRule>
  </conditionalFormatting>
  <conditionalFormatting sqref="BB24">
    <cfRule type="cellIs" dxfId="162" priority="157" operator="lessThan">
      <formula>0</formula>
    </cfRule>
  </conditionalFormatting>
  <conditionalFormatting sqref="BB24:BM24">
    <cfRule type="cellIs" dxfId="161" priority="156" operator="lessThan">
      <formula>0</formula>
    </cfRule>
  </conditionalFormatting>
  <conditionalFormatting sqref="BB26:BB32">
    <cfRule type="cellIs" dxfId="160" priority="155" operator="lessThan">
      <formula>0</formula>
    </cfRule>
  </conditionalFormatting>
  <conditionalFormatting sqref="BB26:BB32">
    <cfRule type="cellIs" dxfId="159" priority="154" operator="lessThan">
      <formula>0</formula>
    </cfRule>
  </conditionalFormatting>
  <conditionalFormatting sqref="BB26:BM32">
    <cfRule type="cellIs" dxfId="158" priority="153" operator="lessThan">
      <formula>0</formula>
    </cfRule>
  </conditionalFormatting>
  <conditionalFormatting sqref="BB34:BM37">
    <cfRule type="cellIs" dxfId="157" priority="152" operator="lessThan">
      <formula>0</formula>
    </cfRule>
  </conditionalFormatting>
  <conditionalFormatting sqref="BB34:BB37">
    <cfRule type="cellIs" dxfId="156" priority="151" operator="lessThan">
      <formula>0</formula>
    </cfRule>
  </conditionalFormatting>
  <conditionalFormatting sqref="BB34:BB37">
    <cfRule type="cellIs" dxfId="155" priority="150" operator="lessThan">
      <formula>0</formula>
    </cfRule>
  </conditionalFormatting>
  <conditionalFormatting sqref="BB34:BM37">
    <cfRule type="cellIs" dxfId="154" priority="149" operator="lessThan">
      <formula>0</formula>
    </cfRule>
  </conditionalFormatting>
  <conditionalFormatting sqref="BB39:BB54">
    <cfRule type="cellIs" dxfId="153" priority="148" operator="lessThan">
      <formula>0</formula>
    </cfRule>
  </conditionalFormatting>
  <conditionalFormatting sqref="BB39:BM54">
    <cfRule type="cellIs" dxfId="152" priority="147" operator="lessThan">
      <formula>0</formula>
    </cfRule>
  </conditionalFormatting>
  <conditionalFormatting sqref="BB39:BB54">
    <cfRule type="cellIs" dxfId="151" priority="146" operator="lessThan">
      <formula>0</formula>
    </cfRule>
  </conditionalFormatting>
  <conditionalFormatting sqref="BB39:BB54">
    <cfRule type="cellIs" dxfId="150" priority="145" operator="lessThan">
      <formula>0</formula>
    </cfRule>
  </conditionalFormatting>
  <conditionalFormatting sqref="BB39:BM54">
    <cfRule type="cellIs" dxfId="149" priority="144" operator="lessThan">
      <formula>0</formula>
    </cfRule>
  </conditionalFormatting>
  <conditionalFormatting sqref="BB56:BB60">
    <cfRule type="cellIs" dxfId="148" priority="143" operator="lessThan">
      <formula>0</formula>
    </cfRule>
  </conditionalFormatting>
  <conditionalFormatting sqref="BB56:BB60">
    <cfRule type="cellIs" dxfId="147" priority="142" operator="lessThan">
      <formula>0</formula>
    </cfRule>
  </conditionalFormatting>
  <conditionalFormatting sqref="BB56:BB60">
    <cfRule type="cellIs" dxfId="146" priority="141" operator="lessThan">
      <formula>0</formula>
    </cfRule>
  </conditionalFormatting>
  <conditionalFormatting sqref="BB56:BM60">
    <cfRule type="cellIs" dxfId="145" priority="140" operator="lessThan">
      <formula>0</formula>
    </cfRule>
  </conditionalFormatting>
  <conditionalFormatting sqref="BB56:BB60">
    <cfRule type="cellIs" dxfId="144" priority="139" operator="lessThan">
      <formula>0</formula>
    </cfRule>
  </conditionalFormatting>
  <conditionalFormatting sqref="BB56:BB60">
    <cfRule type="cellIs" dxfId="143" priority="138" operator="lessThan">
      <formula>0</formula>
    </cfRule>
  </conditionalFormatting>
  <conditionalFormatting sqref="BB56:BM60">
    <cfRule type="cellIs" dxfId="142" priority="137" operator="lessThan">
      <formula>0</formula>
    </cfRule>
  </conditionalFormatting>
  <conditionalFormatting sqref="BB4:BM4">
    <cfRule type="cellIs" dxfId="141" priority="136" operator="lessThan">
      <formula>0</formula>
    </cfRule>
  </conditionalFormatting>
  <conditionalFormatting sqref="BB4:BM4">
    <cfRule type="cellIs" dxfId="140" priority="135" operator="lessThan">
      <formula>0</formula>
    </cfRule>
  </conditionalFormatting>
  <conditionalFormatting sqref="BC11:BM24">
    <cfRule type="cellIs" dxfId="139" priority="134" operator="lessThan">
      <formula>0</formula>
    </cfRule>
  </conditionalFormatting>
  <conditionalFormatting sqref="BC11:BM24">
    <cfRule type="cellIs" dxfId="138" priority="133" operator="lessThan">
      <formula>0</formula>
    </cfRule>
  </conditionalFormatting>
  <conditionalFormatting sqref="BC22:BM22">
    <cfRule type="cellIs" dxfId="137" priority="132" operator="lessThan">
      <formula>0</formula>
    </cfRule>
  </conditionalFormatting>
  <conditionalFormatting sqref="BC23:BM23">
    <cfRule type="cellIs" dxfId="136" priority="131" operator="lessThan">
      <formula>0</formula>
    </cfRule>
  </conditionalFormatting>
  <conditionalFormatting sqref="BC24:BM24">
    <cfRule type="cellIs" dxfId="135" priority="130" operator="lessThan">
      <formula>0</formula>
    </cfRule>
  </conditionalFormatting>
  <conditionalFormatting sqref="BC26:BM32">
    <cfRule type="cellIs" dxfId="134" priority="129" operator="lessThan">
      <formula>0</formula>
    </cfRule>
  </conditionalFormatting>
  <conditionalFormatting sqref="BC26:BM32">
    <cfRule type="cellIs" dxfId="133" priority="128" operator="lessThan">
      <formula>0</formula>
    </cfRule>
  </conditionalFormatting>
  <conditionalFormatting sqref="BC26:BM32">
    <cfRule type="cellIs" dxfId="132" priority="127" operator="lessThan">
      <formula>0</formula>
    </cfRule>
  </conditionalFormatting>
  <conditionalFormatting sqref="BC26:BM32">
    <cfRule type="cellIs" dxfId="131" priority="126" operator="lessThan">
      <formula>0</formula>
    </cfRule>
  </conditionalFormatting>
  <conditionalFormatting sqref="BC34:BM37">
    <cfRule type="cellIs" dxfId="130" priority="125" operator="lessThan">
      <formula>0</formula>
    </cfRule>
  </conditionalFormatting>
  <conditionalFormatting sqref="BC34:BM37">
    <cfRule type="cellIs" dxfId="129" priority="124" operator="lessThan">
      <formula>0</formula>
    </cfRule>
  </conditionalFormatting>
  <conditionalFormatting sqref="BC34:BM37">
    <cfRule type="cellIs" dxfId="128" priority="123" operator="lessThan">
      <formula>0</formula>
    </cfRule>
  </conditionalFormatting>
  <conditionalFormatting sqref="BC34:BM37">
    <cfRule type="cellIs" dxfId="127" priority="122" operator="lessThan">
      <formula>0</formula>
    </cfRule>
  </conditionalFormatting>
  <conditionalFormatting sqref="BC34:BM37">
    <cfRule type="cellIs" dxfId="126" priority="121" operator="lessThan">
      <formula>0</formula>
    </cfRule>
  </conditionalFormatting>
  <conditionalFormatting sqref="BC34:BM37">
    <cfRule type="cellIs" dxfId="125" priority="120" operator="lessThan">
      <formula>0</formula>
    </cfRule>
  </conditionalFormatting>
  <conditionalFormatting sqref="BC39:BM54">
    <cfRule type="cellIs" dxfId="124" priority="119" operator="lessThan">
      <formula>0</formula>
    </cfRule>
  </conditionalFormatting>
  <conditionalFormatting sqref="BC39:BM54">
    <cfRule type="cellIs" dxfId="123" priority="118" operator="lessThan">
      <formula>0</formula>
    </cfRule>
  </conditionalFormatting>
  <conditionalFormatting sqref="BC39:BM54">
    <cfRule type="cellIs" dxfId="122" priority="117" operator="lessThan">
      <formula>0</formula>
    </cfRule>
  </conditionalFormatting>
  <conditionalFormatting sqref="BC39:BM54">
    <cfRule type="cellIs" dxfId="121" priority="116" operator="lessThan">
      <formula>0</formula>
    </cfRule>
  </conditionalFormatting>
  <conditionalFormatting sqref="BC39:BM54">
    <cfRule type="cellIs" dxfId="120" priority="115" operator="lessThan">
      <formula>0</formula>
    </cfRule>
  </conditionalFormatting>
  <conditionalFormatting sqref="BC39:BM54">
    <cfRule type="cellIs" dxfId="119" priority="114" operator="lessThan">
      <formula>0</formula>
    </cfRule>
  </conditionalFormatting>
  <conditionalFormatting sqref="BC39:BM54">
    <cfRule type="cellIs" dxfId="118" priority="113" operator="lessThan">
      <formula>0</formula>
    </cfRule>
  </conditionalFormatting>
  <conditionalFormatting sqref="BC39:BM54">
    <cfRule type="cellIs" dxfId="117" priority="112" operator="lessThan">
      <formula>0</formula>
    </cfRule>
  </conditionalFormatting>
  <conditionalFormatting sqref="BC56:BM60">
    <cfRule type="cellIs" dxfId="116" priority="111" operator="lessThan">
      <formula>0</formula>
    </cfRule>
  </conditionalFormatting>
  <conditionalFormatting sqref="BC56:BM60">
    <cfRule type="cellIs" dxfId="115" priority="110" operator="lessThan">
      <formula>0</formula>
    </cfRule>
  </conditionalFormatting>
  <conditionalFormatting sqref="BC56:BM60">
    <cfRule type="cellIs" dxfId="114" priority="109" operator="lessThan">
      <formula>0</formula>
    </cfRule>
  </conditionalFormatting>
  <conditionalFormatting sqref="BC56:BM60">
    <cfRule type="cellIs" dxfId="113" priority="108" operator="lessThan">
      <formula>0</formula>
    </cfRule>
  </conditionalFormatting>
  <conditionalFormatting sqref="BC56:BM60">
    <cfRule type="cellIs" dxfId="112" priority="107" operator="lessThan">
      <formula>0</formula>
    </cfRule>
  </conditionalFormatting>
  <conditionalFormatting sqref="BC56:BM60">
    <cfRule type="cellIs" dxfId="111" priority="106" operator="lessThan">
      <formula>0</formula>
    </cfRule>
  </conditionalFormatting>
  <conditionalFormatting sqref="BC56:BM60">
    <cfRule type="cellIs" dxfId="110" priority="105" operator="lessThan">
      <formula>0</formula>
    </cfRule>
  </conditionalFormatting>
  <conditionalFormatting sqref="BC56:BM60">
    <cfRule type="cellIs" dxfId="109" priority="104" operator="lessThan">
      <formula>0</formula>
    </cfRule>
  </conditionalFormatting>
  <conditionalFormatting sqref="BC56:BM60">
    <cfRule type="cellIs" dxfId="108" priority="103" operator="lessThan">
      <formula>0</formula>
    </cfRule>
  </conditionalFormatting>
  <conditionalFormatting sqref="BC56:BM60">
    <cfRule type="cellIs" dxfId="107" priority="102" operator="lessThan">
      <formula>0</formula>
    </cfRule>
  </conditionalFormatting>
  <conditionalFormatting sqref="U8:AE8">
    <cfRule type="cellIs" dxfId="106" priority="101" operator="lessThan">
      <formula>0</formula>
    </cfRule>
  </conditionalFormatting>
  <conditionalFormatting sqref="A4:A60">
    <cfRule type="cellIs" dxfId="105" priority="100" operator="lessThan">
      <formula>0</formula>
    </cfRule>
  </conditionalFormatting>
  <conditionalFormatting sqref="A25">
    <cfRule type="cellIs" dxfId="104" priority="99" operator="lessThan">
      <formula>0</formula>
    </cfRule>
  </conditionalFormatting>
  <conditionalFormatting sqref="A4:A60">
    <cfRule type="cellIs" dxfId="103" priority="98" operator="lessThan">
      <formula>0</formula>
    </cfRule>
  </conditionalFormatting>
  <conditionalFormatting sqref="A32">
    <cfRule type="cellIs" dxfId="102" priority="97" operator="lessThan">
      <formula>0</formula>
    </cfRule>
  </conditionalFormatting>
  <conditionalFormatting sqref="A6:A8">
    <cfRule type="cellIs" dxfId="101" priority="96" operator="lessThan">
      <formula>0</formula>
    </cfRule>
  </conditionalFormatting>
  <conditionalFormatting sqref="A11:A24">
    <cfRule type="cellIs" dxfId="100" priority="95" operator="lessThan">
      <formula>0</formula>
    </cfRule>
  </conditionalFormatting>
  <conditionalFormatting sqref="A22">
    <cfRule type="cellIs" dxfId="99" priority="94" operator="lessThan">
      <formula>0</formula>
    </cfRule>
  </conditionalFormatting>
  <conditionalFormatting sqref="A23">
    <cfRule type="cellIs" dxfId="98" priority="93" operator="lessThan">
      <formula>0</formula>
    </cfRule>
  </conditionalFormatting>
  <conditionalFormatting sqref="A24">
    <cfRule type="cellIs" dxfId="97" priority="92" operator="lessThan">
      <formula>0</formula>
    </cfRule>
  </conditionalFormatting>
  <conditionalFormatting sqref="A26:A32">
    <cfRule type="cellIs" dxfId="96" priority="91" operator="lessThan">
      <formula>0</formula>
    </cfRule>
  </conditionalFormatting>
  <conditionalFormatting sqref="A34:A37">
    <cfRule type="cellIs" dxfId="95" priority="90" operator="lessThan">
      <formula>0</formula>
    </cfRule>
  </conditionalFormatting>
  <conditionalFormatting sqref="A34:A37">
    <cfRule type="cellIs" dxfId="94" priority="89" operator="lessThan">
      <formula>0</formula>
    </cfRule>
  </conditionalFormatting>
  <conditionalFormatting sqref="A39:A54">
    <cfRule type="cellIs" dxfId="93" priority="88" operator="lessThan">
      <formula>0</formula>
    </cfRule>
  </conditionalFormatting>
  <conditionalFormatting sqref="A39:A54">
    <cfRule type="cellIs" dxfId="92" priority="87" operator="lessThan">
      <formula>0</formula>
    </cfRule>
  </conditionalFormatting>
  <conditionalFormatting sqref="A56:A60">
    <cfRule type="cellIs" dxfId="91" priority="86" operator="lessThan">
      <formula>0</formula>
    </cfRule>
  </conditionalFormatting>
  <conditionalFormatting sqref="A56:A60">
    <cfRule type="cellIs" dxfId="90" priority="85" operator="lessThan">
      <formula>0</formula>
    </cfRule>
  </conditionalFormatting>
  <conditionalFormatting sqref="A4">
    <cfRule type="cellIs" dxfId="89" priority="84" operator="lessThan">
      <formula>0</formula>
    </cfRule>
  </conditionalFormatting>
  <conditionalFormatting sqref="A4">
    <cfRule type="cellIs" dxfId="88" priority="83" operator="lessThan">
      <formula>0</formula>
    </cfRule>
  </conditionalFormatting>
  <conditionalFormatting sqref="A11:A24">
    <cfRule type="cellIs" dxfId="87" priority="82" operator="lessThan">
      <formula>0</formula>
    </cfRule>
  </conditionalFormatting>
  <conditionalFormatting sqref="A26:A32">
    <cfRule type="cellIs" dxfId="86" priority="81" operator="lessThan">
      <formula>0</formula>
    </cfRule>
  </conditionalFormatting>
  <conditionalFormatting sqref="A26:A32">
    <cfRule type="cellIs" dxfId="85" priority="80" operator="lessThan">
      <formula>0</formula>
    </cfRule>
  </conditionalFormatting>
  <conditionalFormatting sqref="A26:A32">
    <cfRule type="cellIs" dxfId="84" priority="79" operator="lessThan">
      <formula>0</formula>
    </cfRule>
  </conditionalFormatting>
  <conditionalFormatting sqref="A34:A37">
    <cfRule type="cellIs" dxfId="83" priority="78" operator="lessThan">
      <formula>0</formula>
    </cfRule>
  </conditionalFormatting>
  <conditionalFormatting sqref="A34:A37">
    <cfRule type="cellIs" dxfId="82" priority="77" operator="lessThan">
      <formula>0</formula>
    </cfRule>
  </conditionalFormatting>
  <conditionalFormatting sqref="A34:A37">
    <cfRule type="cellIs" dxfId="81" priority="76" operator="lessThan">
      <formula>0</formula>
    </cfRule>
  </conditionalFormatting>
  <conditionalFormatting sqref="A34:A37">
    <cfRule type="cellIs" dxfId="80" priority="75" operator="lessThan">
      <formula>0</formula>
    </cfRule>
  </conditionalFormatting>
  <conditionalFormatting sqref="A34:A37">
    <cfRule type="cellIs" dxfId="79" priority="74" operator="lessThan">
      <formula>0</formula>
    </cfRule>
  </conditionalFormatting>
  <conditionalFormatting sqref="A39:A54">
    <cfRule type="cellIs" dxfId="78" priority="73" operator="lessThan">
      <formula>0</formula>
    </cfRule>
  </conditionalFormatting>
  <conditionalFormatting sqref="A39:A54">
    <cfRule type="cellIs" dxfId="77" priority="72" operator="lessThan">
      <formula>0</formula>
    </cfRule>
  </conditionalFormatting>
  <conditionalFormatting sqref="A39:A54">
    <cfRule type="cellIs" dxfId="76" priority="71" operator="lessThan">
      <formula>0</formula>
    </cfRule>
  </conditionalFormatting>
  <conditionalFormatting sqref="A39:A54">
    <cfRule type="cellIs" dxfId="75" priority="70" operator="lessThan">
      <formula>0</formula>
    </cfRule>
  </conditionalFormatting>
  <conditionalFormatting sqref="A39:A54">
    <cfRule type="cellIs" dxfId="74" priority="69" operator="lessThan">
      <formula>0</formula>
    </cfRule>
  </conditionalFormatting>
  <conditionalFormatting sqref="A39:A54">
    <cfRule type="cellIs" dxfId="73" priority="68" operator="lessThan">
      <formula>0</formula>
    </cfRule>
  </conditionalFormatting>
  <conditionalFormatting sqref="A39:A54">
    <cfRule type="cellIs" dxfId="72" priority="67" operator="lessThan">
      <formula>0</formula>
    </cfRule>
  </conditionalFormatting>
  <conditionalFormatting sqref="A56:A60">
    <cfRule type="cellIs" dxfId="71" priority="66" operator="lessThan">
      <formula>0</formula>
    </cfRule>
  </conditionalFormatting>
  <conditionalFormatting sqref="A56:A60">
    <cfRule type="cellIs" dxfId="70" priority="65" operator="lessThan">
      <formula>0</formula>
    </cfRule>
  </conditionalFormatting>
  <conditionalFormatting sqref="A56:A60">
    <cfRule type="cellIs" dxfId="69" priority="64" operator="lessThan">
      <formula>0</formula>
    </cfRule>
  </conditionalFormatting>
  <conditionalFormatting sqref="A56:A60">
    <cfRule type="cellIs" dxfId="68" priority="63" operator="lessThan">
      <formula>0</formula>
    </cfRule>
  </conditionalFormatting>
  <conditionalFormatting sqref="A56:A60">
    <cfRule type="cellIs" dxfId="67" priority="62" operator="lessThan">
      <formula>0</formula>
    </cfRule>
  </conditionalFormatting>
  <conditionalFormatting sqref="A56:A60">
    <cfRule type="cellIs" dxfId="66" priority="61" operator="lessThan">
      <formula>0</formula>
    </cfRule>
  </conditionalFormatting>
  <conditionalFormatting sqref="A56:A60">
    <cfRule type="cellIs" dxfId="65" priority="60" operator="lessThan">
      <formula>0</formula>
    </cfRule>
  </conditionalFormatting>
  <conditionalFormatting sqref="A56:A60">
    <cfRule type="cellIs" dxfId="64" priority="59" operator="lessThan">
      <formula>0</formula>
    </cfRule>
  </conditionalFormatting>
  <conditionalFormatting sqref="A56:A60">
    <cfRule type="cellIs" dxfId="63" priority="58" operator="lessThan">
      <formula>0</formula>
    </cfRule>
  </conditionalFormatting>
  <conditionalFormatting sqref="A11:A24">
    <cfRule type="cellIs" dxfId="62" priority="57" operator="lessThan">
      <formula>0</formula>
    </cfRule>
  </conditionalFormatting>
  <conditionalFormatting sqref="A26:A32">
    <cfRule type="cellIs" dxfId="61" priority="56" operator="lessThan">
      <formula>0</formula>
    </cfRule>
  </conditionalFormatting>
  <conditionalFormatting sqref="A26:A32">
    <cfRule type="cellIs" dxfId="60" priority="55" operator="lessThan">
      <formula>0</formula>
    </cfRule>
  </conditionalFormatting>
  <conditionalFormatting sqref="A26:A32">
    <cfRule type="cellIs" dxfId="59" priority="54" operator="lessThan">
      <formula>0</formula>
    </cfRule>
  </conditionalFormatting>
  <conditionalFormatting sqref="A26:A32">
    <cfRule type="cellIs" dxfId="58" priority="53" operator="lessThan">
      <formula>0</formula>
    </cfRule>
  </conditionalFormatting>
  <conditionalFormatting sqref="A34:A37">
    <cfRule type="cellIs" dxfId="57" priority="52" operator="lessThan">
      <formula>0</formula>
    </cfRule>
  </conditionalFormatting>
  <conditionalFormatting sqref="A34:A37">
    <cfRule type="cellIs" dxfId="56" priority="51" operator="lessThan">
      <formula>0</formula>
    </cfRule>
  </conditionalFormatting>
  <conditionalFormatting sqref="A34:A37">
    <cfRule type="cellIs" dxfId="55" priority="50" operator="lessThan">
      <formula>0</formula>
    </cfRule>
  </conditionalFormatting>
  <conditionalFormatting sqref="A34:A37">
    <cfRule type="cellIs" dxfId="54" priority="49" operator="lessThan">
      <formula>0</formula>
    </cfRule>
  </conditionalFormatting>
  <conditionalFormatting sqref="A34:A37">
    <cfRule type="cellIs" dxfId="53" priority="48" operator="lessThan">
      <formula>0</formula>
    </cfRule>
  </conditionalFormatting>
  <conditionalFormatting sqref="A34:A37">
    <cfRule type="cellIs" dxfId="52" priority="47" operator="lessThan">
      <formula>0</formula>
    </cfRule>
  </conditionalFormatting>
  <conditionalFormatting sqref="A34:A37">
    <cfRule type="cellIs" dxfId="51" priority="46" operator="lessThan">
      <formula>0</formula>
    </cfRule>
  </conditionalFormatting>
  <conditionalFormatting sqref="A34:A37">
    <cfRule type="cellIs" dxfId="50" priority="45" operator="lessThan">
      <formula>0</formula>
    </cfRule>
  </conditionalFormatting>
  <conditionalFormatting sqref="A34:A37">
    <cfRule type="cellIs" dxfId="49" priority="44" operator="lessThan">
      <formula>0</formula>
    </cfRule>
  </conditionalFormatting>
  <conditionalFormatting sqref="A39:A54">
    <cfRule type="cellIs" dxfId="48" priority="43" operator="lessThan">
      <formula>0</formula>
    </cfRule>
  </conditionalFormatting>
  <conditionalFormatting sqref="A39:A54">
    <cfRule type="cellIs" dxfId="47" priority="42" operator="lessThan">
      <formula>0</formula>
    </cfRule>
  </conditionalFormatting>
  <conditionalFormatting sqref="A39:A54">
    <cfRule type="cellIs" dxfId="46" priority="41" operator="lessThan">
      <formula>0</formula>
    </cfRule>
  </conditionalFormatting>
  <conditionalFormatting sqref="A39:A54">
    <cfRule type="cellIs" dxfId="45" priority="40" operator="lessThan">
      <formula>0</formula>
    </cfRule>
  </conditionalFormatting>
  <conditionalFormatting sqref="A39:A54">
    <cfRule type="cellIs" dxfId="44" priority="39" operator="lessThan">
      <formula>0</formula>
    </cfRule>
  </conditionalFormatting>
  <conditionalFormatting sqref="A39:A54">
    <cfRule type="cellIs" dxfId="43" priority="38" operator="lessThan">
      <formula>0</formula>
    </cfRule>
  </conditionalFormatting>
  <conditionalFormatting sqref="A39:A54">
    <cfRule type="cellIs" dxfId="42" priority="37" operator="lessThan">
      <formula>0</formula>
    </cfRule>
  </conditionalFormatting>
  <conditionalFormatting sqref="A39:A54">
    <cfRule type="cellIs" dxfId="41" priority="36" operator="lessThan">
      <formula>0</formula>
    </cfRule>
  </conditionalFormatting>
  <conditionalFormatting sqref="A39:A54">
    <cfRule type="cellIs" dxfId="40" priority="35" operator="lessThan">
      <formula>0</formula>
    </cfRule>
  </conditionalFormatting>
  <conditionalFormatting sqref="A39:A54">
    <cfRule type="cellIs" dxfId="39" priority="34" operator="lessThan">
      <formula>0</formula>
    </cfRule>
  </conditionalFormatting>
  <conditionalFormatting sqref="A39:A54">
    <cfRule type="cellIs" dxfId="38" priority="33" operator="lessThan">
      <formula>0</formula>
    </cfRule>
  </conditionalFormatting>
  <conditionalFormatting sqref="A39:A54">
    <cfRule type="cellIs" dxfId="37" priority="32" operator="lessThan">
      <formula>0</formula>
    </cfRule>
  </conditionalFormatting>
  <conditionalFormatting sqref="A39:A54">
    <cfRule type="cellIs" dxfId="36" priority="31" operator="lessThan">
      <formula>0</formula>
    </cfRule>
  </conditionalFormatting>
  <conditionalFormatting sqref="A39:A54">
    <cfRule type="cellIs" dxfId="35" priority="30" operator="lessThan">
      <formula>0</formula>
    </cfRule>
  </conditionalFormatting>
  <conditionalFormatting sqref="A39:A54">
    <cfRule type="cellIs" dxfId="34" priority="29" operator="lessThan">
      <formula>0</formula>
    </cfRule>
  </conditionalFormatting>
  <conditionalFormatting sqref="A39:A54">
    <cfRule type="cellIs" dxfId="33" priority="28" operator="lessThan">
      <formula>0</formula>
    </cfRule>
  </conditionalFormatting>
  <conditionalFormatting sqref="A56:A60">
    <cfRule type="cellIs" dxfId="32" priority="27" operator="lessThan">
      <formula>0</formula>
    </cfRule>
  </conditionalFormatting>
  <conditionalFormatting sqref="A56:A60">
    <cfRule type="cellIs" dxfId="31" priority="26" operator="lessThan">
      <formula>0</formula>
    </cfRule>
  </conditionalFormatting>
  <conditionalFormatting sqref="A56:A60">
    <cfRule type="cellIs" dxfId="30" priority="25" operator="lessThan">
      <formula>0</formula>
    </cfRule>
  </conditionalFormatting>
  <conditionalFormatting sqref="A56:A60">
    <cfRule type="cellIs" dxfId="29" priority="24" operator="lessThan">
      <formula>0</formula>
    </cfRule>
  </conditionalFormatting>
  <conditionalFormatting sqref="A56:A60">
    <cfRule type="cellIs" dxfId="28" priority="23" operator="lessThan">
      <formula>0</formula>
    </cfRule>
  </conditionalFormatting>
  <conditionalFormatting sqref="A56:A60">
    <cfRule type="cellIs" dxfId="27" priority="22" operator="lessThan">
      <formula>0</formula>
    </cfRule>
  </conditionalFormatting>
  <conditionalFormatting sqref="A56:A60">
    <cfRule type="cellIs" dxfId="26" priority="21" operator="lessThan">
      <formula>0</formula>
    </cfRule>
  </conditionalFormatting>
  <conditionalFormatting sqref="A56:A60">
    <cfRule type="cellIs" dxfId="25" priority="20" operator="lessThan">
      <formula>0</formula>
    </cfRule>
  </conditionalFormatting>
  <conditionalFormatting sqref="A56:A60">
    <cfRule type="cellIs" dxfId="24" priority="19" operator="lessThan">
      <formula>0</formula>
    </cfRule>
  </conditionalFormatting>
  <conditionalFormatting sqref="A56:A60">
    <cfRule type="cellIs" dxfId="23" priority="18" operator="lessThan">
      <formula>0</formula>
    </cfRule>
  </conditionalFormatting>
  <conditionalFormatting sqref="A56:A60">
    <cfRule type="cellIs" dxfId="22" priority="17" operator="lessThan">
      <formula>0</formula>
    </cfRule>
  </conditionalFormatting>
  <conditionalFormatting sqref="A56:A60">
    <cfRule type="cellIs" dxfId="21" priority="16" operator="lessThan">
      <formula>0</formula>
    </cfRule>
  </conditionalFormatting>
  <conditionalFormatting sqref="A56:A60">
    <cfRule type="cellIs" dxfId="20" priority="15" operator="lessThan">
      <formula>0</formula>
    </cfRule>
  </conditionalFormatting>
  <conditionalFormatting sqref="A56:A60">
    <cfRule type="cellIs" dxfId="19" priority="14" operator="lessThan">
      <formula>0</formula>
    </cfRule>
  </conditionalFormatting>
  <conditionalFormatting sqref="A56:A60">
    <cfRule type="cellIs" dxfId="18" priority="13" operator="lessThan">
      <formula>0</formula>
    </cfRule>
  </conditionalFormatting>
  <conditionalFormatting sqref="A56:A60">
    <cfRule type="cellIs" dxfId="17" priority="12" operator="lessThan">
      <formula>0</formula>
    </cfRule>
  </conditionalFormatting>
  <conditionalFormatting sqref="A56:A60">
    <cfRule type="cellIs" dxfId="16" priority="11" operator="lessThan">
      <formula>0</formula>
    </cfRule>
  </conditionalFormatting>
  <conditionalFormatting sqref="A56:A60">
    <cfRule type="cellIs" dxfId="15" priority="10" operator="lessThan">
      <formula>0</formula>
    </cfRule>
  </conditionalFormatting>
  <conditionalFormatting sqref="A56:A60">
    <cfRule type="cellIs" dxfId="14" priority="9" operator="lessThan">
      <formula>0</formula>
    </cfRule>
  </conditionalFormatting>
  <conditionalFormatting sqref="A56:A60">
    <cfRule type="cellIs" dxfId="13" priority="8" operator="lessThan">
      <formula>0</formula>
    </cfRule>
  </conditionalFormatting>
  <conditionalFormatting sqref="A56:A60">
    <cfRule type="cellIs" dxfId="12" priority="7" operator="lessThan">
      <formula>0</formula>
    </cfRule>
  </conditionalFormatting>
  <conditionalFormatting sqref="A56:A60">
    <cfRule type="cellIs" dxfId="11" priority="6" operator="lessThan">
      <formula>0</formula>
    </cfRule>
  </conditionalFormatting>
  <conditionalFormatting sqref="A56:A60">
    <cfRule type="cellIs" dxfId="10" priority="5" operator="lessThan">
      <formula>0</formula>
    </cfRule>
  </conditionalFormatting>
  <conditionalFormatting sqref="A56:A60">
    <cfRule type="cellIs" dxfId="9" priority="4" operator="lessThan">
      <formula>0</formula>
    </cfRule>
  </conditionalFormatting>
  <conditionalFormatting sqref="A56:A60">
    <cfRule type="cellIs" dxfId="8" priority="3" operator="lessThan">
      <formula>0</formula>
    </cfRule>
  </conditionalFormatting>
  <conditionalFormatting sqref="AK21:AV21 AL18:AV18 AK11:AK20 AL20:AV20">
    <cfRule type="cellIs" dxfId="7" priority="2" operator="lessThan">
      <formula>0</formula>
    </cfRule>
  </conditionalFormatting>
  <conditionalFormatting sqref="AK39:AV54">
    <cfRule type="cellIs" dxfId="6" priority="1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U60:BR60 C60:S60 A6:A60 AK22:AV59 AW6:BR59 AK6:AV10 AL20:AV21 AL18:AV18 AK11:AK21 C6:AJ59">
      <formula1>0</formula1>
    </dataValidation>
  </dataValidations>
  <pageMargins left="0" right="0" top="0" bottom="0" header="0" footer="0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view="pageBreakPreview" zoomScale="70" zoomScaleNormal="75" zoomScaleSheetLayoutView="70" workbookViewId="0">
      <selection activeCell="G32" sqref="G32"/>
    </sheetView>
  </sheetViews>
  <sheetFormatPr defaultColWidth="27.5703125" defaultRowHeight="12.75"/>
  <cols>
    <col min="1" max="1" width="8" style="183" bestFit="1" customWidth="1"/>
    <col min="2" max="2" width="44" style="178" customWidth="1"/>
    <col min="3" max="3" width="111.7109375" style="178" customWidth="1"/>
    <col min="4" max="5" width="42.7109375" style="178" customWidth="1"/>
    <col min="6" max="8" width="20.5703125" style="178" customWidth="1"/>
    <col min="9" max="250" width="9.140625" style="178" customWidth="1"/>
    <col min="251" max="251" width="8" style="178" bestFit="1" customWidth="1"/>
    <col min="252" max="252" width="46.28515625" style="178" customWidth="1"/>
    <col min="253" max="253" width="126" style="178" customWidth="1"/>
    <col min="254" max="254" width="43.140625" style="178" customWidth="1"/>
    <col min="255" max="16384" width="27.5703125" style="178"/>
  </cols>
  <sheetData>
    <row r="2" spans="1:6" ht="48.75" customHeight="1">
      <c r="A2" s="177"/>
      <c r="B2" s="177"/>
      <c r="C2" s="177"/>
      <c r="D2" s="1696" t="s">
        <v>163</v>
      </c>
      <c r="E2" s="1697"/>
    </row>
    <row r="3" spans="1:6" ht="18.75">
      <c r="A3" s="177"/>
      <c r="B3" s="177"/>
      <c r="C3" s="177"/>
      <c r="D3" s="1119"/>
    </row>
    <row r="4" spans="1:6" ht="54" customHeight="1">
      <c r="A4" s="1693" t="s">
        <v>909</v>
      </c>
      <c r="B4" s="1658"/>
      <c r="C4" s="1658"/>
      <c r="D4" s="1658"/>
      <c r="E4" s="1694"/>
    </row>
    <row r="5" spans="1:6" ht="18.75">
      <c r="A5" s="179"/>
      <c r="B5" s="180"/>
      <c r="C5" s="180"/>
      <c r="D5" s="180"/>
    </row>
    <row r="6" spans="1:6" s="177" customFormat="1" ht="24.75" customHeight="1">
      <c r="A6" s="1695" t="s">
        <v>1625</v>
      </c>
      <c r="B6" s="1695" t="s">
        <v>1626</v>
      </c>
      <c r="C6" s="1695" t="s">
        <v>1627</v>
      </c>
      <c r="D6" s="1695" t="s">
        <v>150</v>
      </c>
      <c r="E6" s="1695" t="s">
        <v>160</v>
      </c>
    </row>
    <row r="7" spans="1:6" s="177" customFormat="1" ht="24.75" customHeight="1">
      <c r="A7" s="1695"/>
      <c r="B7" s="1695"/>
      <c r="C7" s="1695"/>
      <c r="D7" s="1695"/>
      <c r="E7" s="1695"/>
    </row>
    <row r="8" spans="1:6" s="177" customFormat="1" ht="21.75">
      <c r="A8" s="1695"/>
      <c r="B8" s="1695"/>
      <c r="C8" s="1695"/>
      <c r="D8" s="1090" t="s">
        <v>1641</v>
      </c>
      <c r="E8" s="1090" t="s">
        <v>1641</v>
      </c>
    </row>
    <row r="9" spans="1:6" s="177" customFormat="1" ht="21.75">
      <c r="A9" s="1695">
        <v>1</v>
      </c>
      <c r="B9" s="1599" t="s">
        <v>2139</v>
      </c>
      <c r="C9" s="1089" t="s">
        <v>1628</v>
      </c>
      <c r="D9" s="195">
        <f>SUM(D10:D12)</f>
        <v>5589338.313895802</v>
      </c>
      <c r="E9" s="195">
        <f>SUM(E10:E12)</f>
        <v>4200000</v>
      </c>
    </row>
    <row r="10" spans="1:6" s="177" customFormat="1" ht="22.5">
      <c r="A10" s="1695"/>
      <c r="B10" s="1599"/>
      <c r="C10" s="181" t="s">
        <v>1629</v>
      </c>
      <c r="D10" s="194">
        <f ca="1">Електроенергія!U23</f>
        <v>2280779.6</v>
      </c>
      <c r="E10" s="194">
        <f>2280780</f>
        <v>2280780</v>
      </c>
    </row>
    <row r="11" spans="1:6" s="177" customFormat="1" ht="22.5">
      <c r="A11" s="1695"/>
      <c r="B11" s="1599"/>
      <c r="C11" s="181" t="s">
        <v>1630</v>
      </c>
      <c r="D11" s="194">
        <f ca="1">'Інші енергоносії'!L23</f>
        <v>3218333.9736415716</v>
      </c>
      <c r="E11" s="194">
        <v>1856731</v>
      </c>
    </row>
    <row r="12" spans="1:6" s="177" customFormat="1" ht="22.5">
      <c r="A12" s="1695"/>
      <c r="B12" s="1599"/>
      <c r="C12" s="181" t="s">
        <v>1631</v>
      </c>
      <c r="D12" s="194">
        <f ca="1">'Інші енергоносії'!L46</f>
        <v>90224.740254230201</v>
      </c>
      <c r="E12" s="194">
        <v>62489</v>
      </c>
    </row>
    <row r="13" spans="1:6" customFormat="1" ht="21.75" customHeight="1">
      <c r="A13" s="1695">
        <v>2</v>
      </c>
      <c r="B13" s="1599" t="s">
        <v>1632</v>
      </c>
      <c r="C13" s="201" t="s">
        <v>1633</v>
      </c>
      <c r="D13" s="204">
        <f>SUM(D14:D16)</f>
        <v>5188197</v>
      </c>
      <c r="E13" s="204">
        <f>SUM(E14:E16)</f>
        <v>0</v>
      </c>
      <c r="F13" s="202"/>
    </row>
    <row r="14" spans="1:6" customFormat="1" ht="90">
      <c r="A14" s="1695"/>
      <c r="B14" s="1599"/>
      <c r="C14" s="1117" t="s">
        <v>910</v>
      </c>
      <c r="D14" s="194">
        <f>2488.197*1000</f>
        <v>2488197</v>
      </c>
      <c r="E14" s="194"/>
      <c r="F14" s="202"/>
    </row>
    <row r="15" spans="1:6" customFormat="1" ht="45">
      <c r="A15" s="1695"/>
      <c r="B15" s="1599"/>
      <c r="C15" s="203" t="s">
        <v>1634</v>
      </c>
      <c r="D15" s="483">
        <f>2500000</f>
        <v>2500000</v>
      </c>
      <c r="E15" s="194"/>
      <c r="F15" s="202"/>
    </row>
    <row r="16" spans="1:6" customFormat="1" ht="22.5">
      <c r="A16" s="1695"/>
      <c r="B16" s="1599"/>
      <c r="C16" s="203" t="s">
        <v>1693</v>
      </c>
      <c r="D16" s="483">
        <f>200000</f>
        <v>200000</v>
      </c>
      <c r="E16" s="194"/>
      <c r="F16" s="202"/>
    </row>
    <row r="17" spans="1:6" customFormat="1" ht="22.5">
      <c r="A17" s="181"/>
      <c r="B17" s="1089"/>
      <c r="C17" s="1089" t="s">
        <v>504</v>
      </c>
      <c r="D17" s="195">
        <f>D9+D13</f>
        <v>10777535.313895803</v>
      </c>
      <c r="E17" s="195">
        <f>E9+E13</f>
        <v>4200000</v>
      </c>
      <c r="F17" s="202"/>
    </row>
  </sheetData>
  <mergeCells count="11">
    <mergeCell ref="A13:A16"/>
    <mergeCell ref="B13:B16"/>
    <mergeCell ref="A9:A12"/>
    <mergeCell ref="B9:B12"/>
    <mergeCell ref="A4:E4"/>
    <mergeCell ref="E6:E7"/>
    <mergeCell ref="D2:E2"/>
    <mergeCell ref="A6:A8"/>
    <mergeCell ref="B6:B8"/>
    <mergeCell ref="C6:C8"/>
    <mergeCell ref="D6:D7"/>
  </mergeCells>
  <phoneticPr fontId="66" type="noConversion"/>
  <hyperlinks>
    <hyperlink ref="C14" r:id="rId1" display="https://prozorro.gov.ua/tender/UA-2022-11-15-000178-a"/>
  </hyperlinks>
  <pageMargins left="0.39370078740157483" right="0.39370078740157483" top="0.78740157480314965" bottom="0.59055118110236227" header="0.31496062992125984" footer="0.51181102362204722"/>
  <pageSetup paperSize="9" scale="55" orientation="landscape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52"/>
  <sheetViews>
    <sheetView showGridLines="0" topLeftCell="A109" zoomScale="60" zoomScaleNormal="60" workbookViewId="0">
      <selection activeCell="C125" sqref="C125"/>
    </sheetView>
  </sheetViews>
  <sheetFormatPr defaultColWidth="10.7109375" defaultRowHeight="15.75"/>
  <cols>
    <col min="1" max="1" width="3.85546875" style="22" customWidth="1"/>
    <col min="2" max="2" width="117.42578125" style="21" bestFit="1" customWidth="1"/>
    <col min="3" max="3" width="40.140625" style="21" customWidth="1"/>
    <col min="4" max="4" width="28.140625" style="21" customWidth="1"/>
    <col min="5" max="5" width="26.42578125" style="21" customWidth="1"/>
    <col min="6" max="6" width="40.140625" style="21" customWidth="1"/>
    <col min="7" max="11" width="10.7109375" style="21"/>
    <col min="12" max="12" width="12.28515625" style="21" bestFit="1" customWidth="1"/>
    <col min="13" max="16384" width="10.7109375" style="21"/>
  </cols>
  <sheetData>
    <row r="1" spans="1:256" s="15" customFormat="1" ht="16.5">
      <c r="A1" s="32"/>
      <c r="K1" s="16"/>
      <c r="P1" s="16"/>
      <c r="U1" s="16"/>
      <c r="Z1" s="16"/>
      <c r="AE1" s="16"/>
      <c r="AJ1" s="16"/>
      <c r="AO1" s="16"/>
    </row>
    <row r="2" spans="1:256" s="18" customFormat="1" ht="27.75" thickBot="1">
      <c r="A2" s="1698"/>
      <c r="B2" s="1698"/>
      <c r="C2" s="1698"/>
      <c r="D2" s="1698"/>
      <c r="E2" s="1698"/>
      <c r="F2" s="1698"/>
      <c r="G2" s="1698"/>
      <c r="H2" s="1698"/>
      <c r="I2" s="1698"/>
      <c r="J2" s="1698"/>
      <c r="K2" s="1698"/>
      <c r="L2" s="1698"/>
      <c r="M2" s="1698"/>
      <c r="N2" s="1698"/>
      <c r="O2" s="1698"/>
      <c r="P2" s="1698"/>
      <c r="Q2" s="1698"/>
      <c r="R2" s="1698"/>
      <c r="S2" s="1698"/>
      <c r="T2" s="1698"/>
      <c r="U2" s="1698"/>
      <c r="V2" s="1698"/>
      <c r="W2" s="1698"/>
      <c r="X2" s="1698"/>
      <c r="Y2" s="1698"/>
      <c r="Z2" s="1698"/>
      <c r="AA2" s="1698"/>
      <c r="AB2" s="1698"/>
      <c r="AC2" s="1698"/>
      <c r="AD2" s="1698"/>
      <c r="AE2" s="1698"/>
      <c r="AF2" s="1698"/>
      <c r="AG2" s="17"/>
      <c r="AH2" s="17"/>
      <c r="AI2" s="17"/>
      <c r="AJ2" s="17"/>
      <c r="AK2" s="17"/>
      <c r="AL2" s="17"/>
      <c r="AM2" s="17"/>
      <c r="AN2" s="17"/>
      <c r="AO2" s="17"/>
    </row>
    <row r="3" spans="1:256" s="19" customFormat="1" ht="67.5" customHeight="1" thickTop="1" thickBot="1">
      <c r="A3" s="20"/>
      <c r="B3" s="1699" t="s">
        <v>618</v>
      </c>
      <c r="C3" s="1700"/>
      <c r="D3" s="1700"/>
      <c r="E3" s="1701"/>
    </row>
    <row r="4" spans="1:256" s="64" customFormat="1" ht="21" customHeight="1" thickTop="1">
      <c r="A4" s="63"/>
      <c r="B4" s="65"/>
      <c r="C4" s="65"/>
      <c r="D4" s="65"/>
      <c r="E4" s="65"/>
    </row>
    <row r="5" spans="1:256" ht="16.5">
      <c r="B5" s="6"/>
      <c r="C5" s="6"/>
      <c r="D5" s="6"/>
      <c r="E5" s="31"/>
      <c r="F5" s="31"/>
      <c r="G5" s="31"/>
      <c r="H5" s="31"/>
    </row>
    <row r="6" spans="1:256" ht="100.15" customHeight="1">
      <c r="B6" s="497" t="s">
        <v>2016</v>
      </c>
      <c r="C6" s="497" t="s">
        <v>2017</v>
      </c>
      <c r="D6" s="497" t="s">
        <v>2018</v>
      </c>
      <c r="E6" s="497" t="s">
        <v>2019</v>
      </c>
      <c r="F6" s="497" t="s">
        <v>2086</v>
      </c>
    </row>
    <row r="7" spans="1:256" s="33" customFormat="1">
      <c r="B7" s="498">
        <v>0</v>
      </c>
      <c r="C7" s="498">
        <v>0.1</v>
      </c>
      <c r="D7" s="498">
        <v>0.2</v>
      </c>
      <c r="E7" s="498">
        <v>0.3</v>
      </c>
      <c r="F7" s="499"/>
      <c r="G7" s="21"/>
      <c r="H7" s="21"/>
      <c r="I7" s="21"/>
      <c r="J7" s="21"/>
      <c r="K7" s="21"/>
      <c r="L7" s="21"/>
      <c r="M7" s="21"/>
      <c r="N7" s="21"/>
      <c r="O7" s="21"/>
      <c r="P7" s="21"/>
      <c r="R7" s="21"/>
      <c r="S7" s="21"/>
      <c r="T7" s="21"/>
      <c r="U7" s="21"/>
      <c r="W7" s="21"/>
      <c r="X7" s="21"/>
      <c r="Y7" s="21"/>
      <c r="Z7" s="21"/>
      <c r="AB7" s="21"/>
      <c r="AC7" s="21"/>
      <c r="AD7" s="21"/>
      <c r="AE7" s="21"/>
      <c r="AG7" s="21"/>
      <c r="AH7" s="21"/>
      <c r="AI7" s="21"/>
      <c r="AJ7" s="21"/>
      <c r="AL7" s="21"/>
      <c r="AM7" s="21"/>
      <c r="AN7" s="21"/>
      <c r="AO7" s="21"/>
      <c r="AQ7" s="21"/>
      <c r="AR7" s="21"/>
      <c r="AS7" s="21"/>
      <c r="AT7" s="21"/>
      <c r="AV7" s="21"/>
      <c r="AW7" s="21"/>
      <c r="AX7" s="21"/>
      <c r="AY7" s="21"/>
      <c r="BA7" s="21"/>
      <c r="BB7" s="21"/>
      <c r="BC7" s="21"/>
      <c r="BD7" s="21"/>
      <c r="BF7" s="21"/>
      <c r="BG7" s="21"/>
      <c r="BH7" s="21"/>
      <c r="BI7" s="21"/>
      <c r="BK7" s="21"/>
      <c r="BL7" s="21"/>
      <c r="BM7" s="21"/>
      <c r="BN7" s="21"/>
      <c r="BP7" s="21"/>
      <c r="BQ7" s="21"/>
      <c r="BR7" s="21"/>
      <c r="BS7" s="21"/>
      <c r="BU7" s="21"/>
      <c r="BV7" s="21"/>
      <c r="BW7" s="21"/>
      <c r="BX7" s="21"/>
      <c r="BZ7" s="21"/>
      <c r="CA7" s="21"/>
      <c r="CB7" s="21"/>
      <c r="CC7" s="21"/>
      <c r="CE7" s="21"/>
      <c r="CF7" s="21"/>
      <c r="CG7" s="21"/>
      <c r="CH7" s="21"/>
      <c r="CJ7" s="21"/>
      <c r="CK7" s="21"/>
      <c r="CL7" s="21"/>
      <c r="CM7" s="21"/>
      <c r="CO7" s="21"/>
      <c r="CP7" s="21"/>
      <c r="CQ7" s="21"/>
      <c r="CR7" s="21"/>
      <c r="CT7" s="21"/>
      <c r="CU7" s="21"/>
      <c r="CV7" s="21"/>
      <c r="CW7" s="21"/>
      <c r="CY7" s="21"/>
      <c r="CZ7" s="21"/>
      <c r="DA7" s="21"/>
      <c r="DB7" s="21"/>
      <c r="DD7" s="21"/>
      <c r="DE7" s="21"/>
      <c r="DF7" s="21"/>
      <c r="DG7" s="21"/>
      <c r="DI7" s="21"/>
      <c r="DJ7" s="21"/>
      <c r="DK7" s="21"/>
      <c r="DL7" s="21"/>
      <c r="DN7" s="21"/>
      <c r="DO7" s="21"/>
      <c r="DP7" s="21"/>
      <c r="DQ7" s="21"/>
      <c r="DS7" s="21"/>
      <c r="DT7" s="21"/>
      <c r="DU7" s="21"/>
      <c r="DV7" s="21"/>
      <c r="DX7" s="21"/>
      <c r="DY7" s="21"/>
      <c r="DZ7" s="21"/>
      <c r="EA7" s="21"/>
      <c r="EC7" s="21"/>
      <c r="ED7" s="21"/>
      <c r="EE7" s="21"/>
      <c r="EF7" s="21"/>
      <c r="EH7" s="21"/>
      <c r="EI7" s="21"/>
      <c r="EJ7" s="21"/>
      <c r="EK7" s="21"/>
      <c r="EM7" s="21"/>
      <c r="EN7" s="21"/>
      <c r="EO7" s="21"/>
      <c r="EP7" s="21"/>
      <c r="ER7" s="21"/>
      <c r="ES7" s="21"/>
      <c r="ET7" s="21"/>
      <c r="EU7" s="21"/>
      <c r="EW7" s="21"/>
      <c r="EX7" s="21"/>
      <c r="EY7" s="21"/>
      <c r="EZ7" s="21"/>
      <c r="FB7" s="21"/>
      <c r="FC7" s="21"/>
      <c r="FD7" s="21"/>
      <c r="FE7" s="21"/>
      <c r="FG7" s="21"/>
      <c r="FH7" s="21"/>
      <c r="FI7" s="21"/>
      <c r="FJ7" s="21"/>
      <c r="FL7" s="21"/>
      <c r="FM7" s="21"/>
      <c r="FN7" s="21"/>
      <c r="FO7" s="21"/>
      <c r="FQ7" s="21"/>
      <c r="FR7" s="21"/>
      <c r="FS7" s="21"/>
      <c r="FT7" s="21"/>
      <c r="FV7" s="21"/>
      <c r="FW7" s="21"/>
      <c r="FX7" s="21"/>
      <c r="FY7" s="21"/>
      <c r="GA7" s="21"/>
      <c r="GB7" s="21"/>
      <c r="GC7" s="21"/>
      <c r="GD7" s="21"/>
      <c r="GF7" s="21"/>
      <c r="GG7" s="21"/>
      <c r="GH7" s="21"/>
      <c r="GI7" s="21"/>
      <c r="GK7" s="21"/>
      <c r="GL7" s="21"/>
      <c r="GM7" s="21"/>
      <c r="GN7" s="21"/>
      <c r="GP7" s="21"/>
      <c r="GQ7" s="21"/>
      <c r="GR7" s="21"/>
      <c r="GS7" s="21"/>
      <c r="GU7" s="21"/>
      <c r="GV7" s="21"/>
      <c r="GW7" s="21"/>
      <c r="GX7" s="21"/>
      <c r="GZ7" s="21"/>
      <c r="HA7" s="21"/>
      <c r="HB7" s="21"/>
      <c r="HC7" s="21"/>
      <c r="HE7" s="21"/>
      <c r="HF7" s="21"/>
      <c r="HG7" s="21"/>
      <c r="HH7" s="21"/>
      <c r="HJ7" s="21"/>
      <c r="HK7" s="21"/>
      <c r="HL7" s="21"/>
      <c r="HM7" s="21"/>
      <c r="HO7" s="21"/>
      <c r="HP7" s="21"/>
      <c r="HQ7" s="21"/>
      <c r="HR7" s="21"/>
      <c r="HT7" s="21"/>
      <c r="HU7" s="21"/>
      <c r="HV7" s="21"/>
      <c r="HW7" s="21"/>
      <c r="HY7" s="21"/>
      <c r="HZ7" s="21"/>
      <c r="IA7" s="21"/>
      <c r="IB7" s="21"/>
      <c r="ID7" s="21"/>
      <c r="IE7" s="21"/>
      <c r="IF7" s="21"/>
      <c r="IG7" s="21"/>
      <c r="II7" s="21"/>
      <c r="IJ7" s="21"/>
      <c r="IK7" s="21"/>
      <c r="IL7" s="21"/>
      <c r="IN7" s="21"/>
      <c r="IO7" s="21"/>
      <c r="IP7" s="21"/>
      <c r="IQ7" s="21"/>
      <c r="IS7" s="21"/>
      <c r="IT7" s="21"/>
      <c r="IU7" s="21"/>
      <c r="IV7" s="21"/>
    </row>
    <row r="8" spans="1:256" s="31" customFormat="1">
      <c r="A8" s="22"/>
      <c r="B8" s="500" t="s">
        <v>2020</v>
      </c>
      <c r="C8" s="501"/>
      <c r="D8" s="502"/>
      <c r="E8" s="503">
        <f>SUM($E$9:$E$91)</f>
        <v>0</v>
      </c>
      <c r="F8" s="504"/>
      <c r="G8" s="21"/>
      <c r="H8" s="21"/>
      <c r="I8" s="21"/>
      <c r="J8" s="21"/>
      <c r="K8" s="21"/>
      <c r="L8" s="21"/>
      <c r="M8" s="21"/>
      <c r="N8" s="21"/>
      <c r="O8" s="21"/>
      <c r="P8" s="21"/>
      <c r="R8" s="21"/>
      <c r="S8" s="21"/>
      <c r="T8" s="21"/>
      <c r="U8" s="21"/>
      <c r="W8" s="21"/>
      <c r="X8" s="21"/>
      <c r="Y8" s="21"/>
      <c r="Z8" s="21"/>
      <c r="AB8" s="21"/>
      <c r="AC8" s="21"/>
      <c r="AD8" s="21"/>
      <c r="AE8" s="21"/>
      <c r="AG8" s="21"/>
      <c r="AH8" s="21"/>
      <c r="AI8" s="21"/>
      <c r="AJ8" s="21"/>
      <c r="AL8" s="21"/>
      <c r="AM8" s="21"/>
      <c r="AN8" s="21"/>
      <c r="AO8" s="21"/>
      <c r="AQ8" s="21"/>
      <c r="AR8" s="21"/>
      <c r="AS8" s="21"/>
      <c r="AT8" s="21"/>
      <c r="AV8" s="21"/>
      <c r="AW8" s="21"/>
      <c r="AX8" s="21"/>
      <c r="AY8" s="21"/>
      <c r="BA8" s="21"/>
      <c r="BB8" s="21"/>
      <c r="BC8" s="21"/>
      <c r="BD8" s="21"/>
      <c r="BF8" s="21"/>
      <c r="BG8" s="21"/>
      <c r="BH8" s="21"/>
      <c r="BI8" s="21"/>
      <c r="BK8" s="21"/>
      <c r="BL8" s="21"/>
      <c r="BM8" s="21"/>
      <c r="BN8" s="21"/>
      <c r="BP8" s="21"/>
      <c r="BQ8" s="21"/>
      <c r="BR8" s="21"/>
      <c r="BS8" s="21"/>
      <c r="BU8" s="21"/>
      <c r="BV8" s="21"/>
      <c r="BW8" s="21"/>
      <c r="BX8" s="21"/>
      <c r="BZ8" s="21"/>
      <c r="CA8" s="21"/>
      <c r="CB8" s="21"/>
      <c r="CC8" s="21"/>
      <c r="CE8" s="21"/>
      <c r="CF8" s="21"/>
      <c r="CG8" s="21"/>
      <c r="CH8" s="21"/>
      <c r="CJ8" s="21"/>
      <c r="CK8" s="21"/>
      <c r="CL8" s="21"/>
      <c r="CM8" s="21"/>
      <c r="CO8" s="21"/>
      <c r="CP8" s="21"/>
      <c r="CQ8" s="21"/>
      <c r="CR8" s="21"/>
      <c r="CT8" s="21"/>
      <c r="CU8" s="21"/>
      <c r="CV8" s="21"/>
      <c r="CW8" s="21"/>
      <c r="CY8" s="21"/>
      <c r="CZ8" s="21"/>
      <c r="DA8" s="21"/>
      <c r="DB8" s="21"/>
      <c r="DD8" s="21"/>
      <c r="DE8" s="21"/>
      <c r="DF8" s="21"/>
      <c r="DG8" s="21"/>
      <c r="DI8" s="21"/>
      <c r="DJ8" s="21"/>
      <c r="DK8" s="21"/>
      <c r="DL8" s="21"/>
      <c r="DN8" s="21"/>
      <c r="DO8" s="21"/>
      <c r="DP8" s="21"/>
      <c r="DQ8" s="21"/>
      <c r="DS8" s="21"/>
      <c r="DT8" s="21"/>
      <c r="DU8" s="21"/>
      <c r="DV8" s="21"/>
      <c r="DX8" s="21"/>
      <c r="DY8" s="21"/>
      <c r="DZ8" s="21"/>
      <c r="EA8" s="21"/>
      <c r="EC8" s="21"/>
      <c r="ED8" s="21"/>
      <c r="EE8" s="21"/>
      <c r="EF8" s="21"/>
      <c r="EH8" s="21"/>
      <c r="EI8" s="21"/>
      <c r="EJ8" s="21"/>
      <c r="EK8" s="21"/>
      <c r="EM8" s="21"/>
      <c r="EN8" s="21"/>
      <c r="EO8" s="21"/>
      <c r="EP8" s="21"/>
      <c r="ER8" s="21"/>
      <c r="ES8" s="21"/>
      <c r="ET8" s="21"/>
      <c r="EU8" s="21"/>
      <c r="EW8" s="21"/>
      <c r="EX8" s="21"/>
      <c r="EY8" s="21"/>
      <c r="EZ8" s="21"/>
      <c r="FB8" s="21"/>
      <c r="FC8" s="21"/>
      <c r="FD8" s="21"/>
      <c r="FE8" s="21"/>
      <c r="FG8" s="21"/>
      <c r="FH8" s="21"/>
      <c r="FI8" s="21"/>
      <c r="FJ8" s="21"/>
      <c r="FL8" s="21"/>
      <c r="FM8" s="21"/>
      <c r="FN8" s="21"/>
      <c r="FO8" s="21"/>
      <c r="FQ8" s="21"/>
      <c r="FR8" s="21"/>
      <c r="FS8" s="21"/>
      <c r="FT8" s="21"/>
      <c r="FV8" s="21"/>
      <c r="FW8" s="21"/>
      <c r="FX8" s="21"/>
      <c r="FY8" s="21"/>
      <c r="GA8" s="21"/>
      <c r="GB8" s="21"/>
      <c r="GC8" s="21"/>
      <c r="GD8" s="21"/>
      <c r="GF8" s="21"/>
      <c r="GG8" s="21"/>
      <c r="GH8" s="21"/>
      <c r="GI8" s="21"/>
      <c r="GK8" s="21"/>
      <c r="GL8" s="21"/>
      <c r="GM8" s="21"/>
      <c r="GN8" s="21"/>
      <c r="GP8" s="21"/>
      <c r="GQ8" s="21"/>
      <c r="GR8" s="21"/>
      <c r="GS8" s="21"/>
      <c r="GU8" s="21"/>
      <c r="GV8" s="21"/>
      <c r="GW8" s="21"/>
      <c r="GX8" s="21"/>
      <c r="GZ8" s="21"/>
      <c r="HA8" s="21"/>
      <c r="HB8" s="21"/>
      <c r="HC8" s="21"/>
      <c r="HE8" s="21"/>
      <c r="HF8" s="21"/>
      <c r="HG8" s="21"/>
      <c r="HH8" s="21"/>
      <c r="HJ8" s="21"/>
      <c r="HK8" s="21"/>
      <c r="HL8" s="21"/>
      <c r="HM8" s="21"/>
      <c r="HO8" s="21"/>
      <c r="HP8" s="21"/>
      <c r="HQ8" s="21"/>
      <c r="HR8" s="21"/>
      <c r="HT8" s="21"/>
      <c r="HU8" s="21"/>
      <c r="HV8" s="21"/>
      <c r="HW8" s="21"/>
      <c r="HY8" s="21"/>
      <c r="HZ8" s="21"/>
      <c r="IA8" s="21"/>
      <c r="IB8" s="21"/>
      <c r="ID8" s="21"/>
      <c r="IE8" s="21"/>
      <c r="IF8" s="21"/>
      <c r="IG8" s="21"/>
      <c r="II8" s="21"/>
      <c r="IJ8" s="21"/>
      <c r="IK8" s="21"/>
      <c r="IL8" s="21"/>
      <c r="IN8" s="21"/>
      <c r="IO8" s="21"/>
      <c r="IP8" s="21"/>
      <c r="IQ8" s="21"/>
      <c r="IS8" s="21"/>
      <c r="IT8" s="21"/>
      <c r="IU8" s="21"/>
      <c r="IV8" s="21"/>
    </row>
    <row r="9" spans="1:256">
      <c r="A9" s="8">
        <v>1</v>
      </c>
      <c r="B9" s="505" t="s">
        <v>2087</v>
      </c>
      <c r="C9" s="506"/>
      <c r="D9" s="507"/>
      <c r="E9" s="508">
        <f>IFERROR(C9*D9,)</f>
        <v>0</v>
      </c>
      <c r="F9" s="509"/>
    </row>
    <row r="10" spans="1:256">
      <c r="A10" s="8">
        <v>2</v>
      </c>
      <c r="B10" s="505" t="s">
        <v>2088</v>
      </c>
      <c r="C10" s="506"/>
      <c r="D10" s="507"/>
      <c r="E10" s="508">
        <f t="shared" ref="E10:E24" si="0">IFERROR(C10*D10,)</f>
        <v>0</v>
      </c>
      <c r="F10" s="509"/>
    </row>
    <row r="11" spans="1:256">
      <c r="A11" s="8">
        <v>3</v>
      </c>
      <c r="B11" s="505" t="s">
        <v>2089</v>
      </c>
      <c r="C11" s="506"/>
      <c r="D11" s="507"/>
      <c r="E11" s="508">
        <f t="shared" si="0"/>
        <v>0</v>
      </c>
      <c r="F11" s="509"/>
    </row>
    <row r="12" spans="1:256">
      <c r="A12" s="8">
        <v>4</v>
      </c>
      <c r="B12" s="505" t="s">
        <v>2090</v>
      </c>
      <c r="C12" s="506"/>
      <c r="D12" s="507"/>
      <c r="E12" s="508">
        <f t="shared" si="0"/>
        <v>0</v>
      </c>
      <c r="F12" s="509"/>
    </row>
    <row r="13" spans="1:256">
      <c r="A13" s="8">
        <v>5</v>
      </c>
      <c r="B13" s="505" t="s">
        <v>2091</v>
      </c>
      <c r="C13" s="506"/>
      <c r="D13" s="507"/>
      <c r="E13" s="508">
        <f t="shared" si="0"/>
        <v>0</v>
      </c>
      <c r="F13" s="509"/>
    </row>
    <row r="14" spans="1:256">
      <c r="A14" s="8">
        <v>6</v>
      </c>
      <c r="B14" s="505" t="s">
        <v>2092</v>
      </c>
      <c r="C14" s="506"/>
      <c r="D14" s="507"/>
      <c r="E14" s="508">
        <f t="shared" si="0"/>
        <v>0</v>
      </c>
      <c r="F14" s="509"/>
    </row>
    <row r="15" spans="1:256">
      <c r="A15" s="8">
        <v>7</v>
      </c>
      <c r="B15" s="505" t="s">
        <v>2093</v>
      </c>
      <c r="C15" s="506"/>
      <c r="D15" s="507"/>
      <c r="E15" s="508">
        <f t="shared" si="0"/>
        <v>0</v>
      </c>
      <c r="F15" s="509"/>
    </row>
    <row r="16" spans="1:256">
      <c r="A16" s="8">
        <v>8</v>
      </c>
      <c r="B16" s="505" t="s">
        <v>2094</v>
      </c>
      <c r="C16" s="506"/>
      <c r="D16" s="507"/>
      <c r="E16" s="508">
        <f t="shared" si="0"/>
        <v>0</v>
      </c>
      <c r="F16" s="509"/>
    </row>
    <row r="17" spans="1:6">
      <c r="A17" s="8">
        <v>9</v>
      </c>
      <c r="B17" s="505" t="s">
        <v>2095</v>
      </c>
      <c r="C17" s="506"/>
      <c r="D17" s="507"/>
      <c r="E17" s="508">
        <f t="shared" si="0"/>
        <v>0</v>
      </c>
      <c r="F17" s="509"/>
    </row>
    <row r="18" spans="1:6">
      <c r="A18" s="8">
        <v>10</v>
      </c>
      <c r="B18" s="505" t="s">
        <v>2096</v>
      </c>
      <c r="C18" s="506"/>
      <c r="D18" s="507"/>
      <c r="E18" s="508">
        <f t="shared" si="0"/>
        <v>0</v>
      </c>
      <c r="F18" s="509"/>
    </row>
    <row r="19" spans="1:6">
      <c r="A19" s="8">
        <v>11</v>
      </c>
      <c r="B19" s="505" t="s">
        <v>2097</v>
      </c>
      <c r="C19" s="506"/>
      <c r="D19" s="507"/>
      <c r="E19" s="508">
        <f t="shared" si="0"/>
        <v>0</v>
      </c>
      <c r="F19" s="509"/>
    </row>
    <row r="20" spans="1:6">
      <c r="A20" s="8">
        <v>12</v>
      </c>
      <c r="B20" s="505" t="s">
        <v>2098</v>
      </c>
      <c r="C20" s="506"/>
      <c r="D20" s="507"/>
      <c r="E20" s="508">
        <f t="shared" si="0"/>
        <v>0</v>
      </c>
      <c r="F20" s="509"/>
    </row>
    <row r="21" spans="1:6" ht="21" customHeight="1">
      <c r="A21" s="8">
        <v>13</v>
      </c>
      <c r="B21" s="505" t="s">
        <v>2099</v>
      </c>
      <c r="C21" s="506"/>
      <c r="D21" s="507"/>
      <c r="E21" s="508">
        <f t="shared" si="0"/>
        <v>0</v>
      </c>
      <c r="F21" s="509"/>
    </row>
    <row r="22" spans="1:6">
      <c r="A22" s="8">
        <v>14</v>
      </c>
      <c r="B22" s="505" t="s">
        <v>2100</v>
      </c>
      <c r="C22" s="506"/>
      <c r="D22" s="507"/>
      <c r="E22" s="508">
        <f t="shared" si="0"/>
        <v>0</v>
      </c>
      <c r="F22" s="509"/>
    </row>
    <row r="23" spans="1:6" ht="39" customHeight="1">
      <c r="A23" s="8">
        <v>15</v>
      </c>
      <c r="B23" s="505" t="s">
        <v>2101</v>
      </c>
      <c r="C23" s="506"/>
      <c r="D23" s="507"/>
      <c r="E23" s="508">
        <f t="shared" si="0"/>
        <v>0</v>
      </c>
      <c r="F23" s="509"/>
    </row>
    <row r="24" spans="1:6">
      <c r="A24" s="8">
        <v>16</v>
      </c>
      <c r="B24" s="505" t="s">
        <v>2102</v>
      </c>
      <c r="C24" s="506"/>
      <c r="D24" s="507"/>
      <c r="E24" s="508">
        <f t="shared" si="0"/>
        <v>0</v>
      </c>
      <c r="F24" s="509"/>
    </row>
    <row r="25" spans="1:6" ht="31.5">
      <c r="A25" s="8"/>
      <c r="B25" s="505" t="s">
        <v>1866</v>
      </c>
      <c r="C25" s="506"/>
      <c r="D25" s="507"/>
      <c r="E25" s="508">
        <f>IFERROR(C25*D25,)</f>
        <v>0</v>
      </c>
      <c r="F25" s="509"/>
    </row>
    <row r="26" spans="1:6" ht="47.25">
      <c r="A26" s="8">
        <v>19</v>
      </c>
      <c r="B26" s="505" t="s">
        <v>1867</v>
      </c>
      <c r="C26" s="510"/>
      <c r="D26" s="510"/>
      <c r="E26" s="511"/>
      <c r="F26" s="512"/>
    </row>
    <row r="27" spans="1:6">
      <c r="A27" s="8">
        <v>19.100000000000001</v>
      </c>
      <c r="B27" s="513" t="s">
        <v>2103</v>
      </c>
      <c r="C27" s="506"/>
      <c r="D27" s="507"/>
      <c r="E27" s="508">
        <f t="shared" ref="E27:E36" si="1">IFERROR(C27*D27,)</f>
        <v>0</v>
      </c>
      <c r="F27" s="509"/>
    </row>
    <row r="28" spans="1:6">
      <c r="A28" s="8">
        <v>19.2</v>
      </c>
      <c r="B28" s="513" t="s">
        <v>2104</v>
      </c>
      <c r="C28" s="506"/>
      <c r="D28" s="507"/>
      <c r="E28" s="508">
        <f t="shared" si="1"/>
        <v>0</v>
      </c>
      <c r="F28" s="509"/>
    </row>
    <row r="29" spans="1:6">
      <c r="A29" s="8">
        <v>19.3</v>
      </c>
      <c r="B29" s="513" t="s">
        <v>2105</v>
      </c>
      <c r="C29" s="506"/>
      <c r="D29" s="507"/>
      <c r="E29" s="508">
        <f t="shared" si="1"/>
        <v>0</v>
      </c>
      <c r="F29" s="509"/>
    </row>
    <row r="30" spans="1:6">
      <c r="A30" s="8">
        <v>19.399999999999999</v>
      </c>
      <c r="B30" s="513" t="s">
        <v>2106</v>
      </c>
      <c r="C30" s="506"/>
      <c r="D30" s="507"/>
      <c r="E30" s="508">
        <f t="shared" si="1"/>
        <v>0</v>
      </c>
      <c r="F30" s="509"/>
    </row>
    <row r="31" spans="1:6">
      <c r="A31" s="8">
        <v>19.5</v>
      </c>
      <c r="B31" s="513" t="s">
        <v>2107</v>
      </c>
      <c r="C31" s="506"/>
      <c r="D31" s="507"/>
      <c r="E31" s="508">
        <f t="shared" si="1"/>
        <v>0</v>
      </c>
      <c r="F31" s="509"/>
    </row>
    <row r="32" spans="1:6">
      <c r="A32" s="8">
        <v>19.600000000000001</v>
      </c>
      <c r="B32" s="513" t="s">
        <v>2108</v>
      </c>
      <c r="C32" s="506"/>
      <c r="D32" s="507"/>
      <c r="E32" s="508">
        <f t="shared" si="1"/>
        <v>0</v>
      </c>
      <c r="F32" s="509"/>
    </row>
    <row r="33" spans="1:6">
      <c r="A33" s="8"/>
      <c r="B33" s="513" t="s">
        <v>1868</v>
      </c>
      <c r="C33" s="506"/>
      <c r="D33" s="507"/>
      <c r="E33" s="508">
        <f t="shared" si="1"/>
        <v>0</v>
      </c>
      <c r="F33" s="509"/>
    </row>
    <row r="34" spans="1:6">
      <c r="A34" s="8">
        <v>19.7</v>
      </c>
      <c r="B34" s="513" t="s">
        <v>2109</v>
      </c>
      <c r="C34" s="506"/>
      <c r="D34" s="507"/>
      <c r="E34" s="508">
        <f t="shared" si="1"/>
        <v>0</v>
      </c>
      <c r="F34" s="509"/>
    </row>
    <row r="35" spans="1:6">
      <c r="A35" s="8">
        <v>19.8</v>
      </c>
      <c r="B35" s="513" t="s">
        <v>2110</v>
      </c>
      <c r="C35" s="506"/>
      <c r="D35" s="507"/>
      <c r="E35" s="508">
        <f t="shared" si="1"/>
        <v>0</v>
      </c>
      <c r="F35" s="509"/>
    </row>
    <row r="36" spans="1:6">
      <c r="A36" s="8">
        <v>19.899999999999999</v>
      </c>
      <c r="B36" s="513" t="s">
        <v>2111</v>
      </c>
      <c r="C36" s="506"/>
      <c r="D36" s="507"/>
      <c r="E36" s="508">
        <f t="shared" si="1"/>
        <v>0</v>
      </c>
      <c r="F36" s="509"/>
    </row>
    <row r="37" spans="1:6">
      <c r="A37" s="8"/>
      <c r="B37" s="505" t="s">
        <v>1869</v>
      </c>
      <c r="C37" s="514"/>
      <c r="D37" s="515"/>
      <c r="E37" s="516"/>
      <c r="F37" s="512"/>
    </row>
    <row r="38" spans="1:6">
      <c r="A38" s="8"/>
      <c r="B38" s="513" t="s">
        <v>1872</v>
      </c>
      <c r="C38" s="506"/>
      <c r="D38" s="507"/>
      <c r="E38" s="508">
        <f t="shared" ref="E38:E68" si="2">IFERROR(C38*D38,)</f>
        <v>0</v>
      </c>
      <c r="F38" s="509"/>
    </row>
    <row r="39" spans="1:6">
      <c r="A39" s="8"/>
      <c r="B39" s="513" t="s">
        <v>1873</v>
      </c>
      <c r="C39" s="506"/>
      <c r="D39" s="507"/>
      <c r="E39" s="508">
        <f t="shared" si="2"/>
        <v>0</v>
      </c>
      <c r="F39" s="509"/>
    </row>
    <row r="40" spans="1:6">
      <c r="A40" s="8"/>
      <c r="B40" s="513" t="s">
        <v>1874</v>
      </c>
      <c r="C40" s="506"/>
      <c r="D40" s="507"/>
      <c r="E40" s="508">
        <f t="shared" si="2"/>
        <v>0</v>
      </c>
      <c r="F40" s="509"/>
    </row>
    <row r="41" spans="1:6">
      <c r="A41" s="8"/>
      <c r="B41" s="513" t="s">
        <v>1875</v>
      </c>
      <c r="C41" s="506"/>
      <c r="D41" s="507"/>
      <c r="E41" s="508">
        <f t="shared" si="2"/>
        <v>0</v>
      </c>
      <c r="F41" s="509"/>
    </row>
    <row r="42" spans="1:6">
      <c r="A42" s="8"/>
      <c r="B42" s="513" t="s">
        <v>1876</v>
      </c>
      <c r="C42" s="506"/>
      <c r="D42" s="507"/>
      <c r="E42" s="508">
        <f t="shared" si="2"/>
        <v>0</v>
      </c>
      <c r="F42" s="509"/>
    </row>
    <row r="43" spans="1:6">
      <c r="A43" s="8"/>
      <c r="B43" s="513" t="s">
        <v>1877</v>
      </c>
      <c r="C43" s="506"/>
      <c r="D43" s="507"/>
      <c r="E43" s="508">
        <f t="shared" si="2"/>
        <v>0</v>
      </c>
      <c r="F43" s="509"/>
    </row>
    <row r="44" spans="1:6">
      <c r="A44" s="8"/>
      <c r="B44" s="513" t="s">
        <v>1878</v>
      </c>
      <c r="C44" s="506"/>
      <c r="D44" s="507"/>
      <c r="E44" s="508">
        <f t="shared" si="2"/>
        <v>0</v>
      </c>
      <c r="F44" s="509"/>
    </row>
    <row r="45" spans="1:6">
      <c r="A45" s="8"/>
      <c r="B45" s="513" t="s">
        <v>1879</v>
      </c>
      <c r="C45" s="506"/>
      <c r="D45" s="507"/>
      <c r="E45" s="508">
        <f t="shared" si="2"/>
        <v>0</v>
      </c>
      <c r="F45" s="509"/>
    </row>
    <row r="46" spans="1:6">
      <c r="A46" s="8"/>
      <c r="B46" s="513" t="s">
        <v>1880</v>
      </c>
      <c r="C46" s="506"/>
      <c r="D46" s="507"/>
      <c r="E46" s="508">
        <f t="shared" si="2"/>
        <v>0</v>
      </c>
      <c r="F46" s="509"/>
    </row>
    <row r="47" spans="1:6">
      <c r="A47" s="8"/>
      <c r="B47" s="513" t="s">
        <v>1890</v>
      </c>
      <c r="C47" s="506"/>
      <c r="D47" s="507"/>
      <c r="E47" s="508">
        <f t="shared" si="2"/>
        <v>0</v>
      </c>
      <c r="F47" s="509"/>
    </row>
    <row r="48" spans="1:6">
      <c r="A48" s="8"/>
      <c r="B48" s="513" t="s">
        <v>1881</v>
      </c>
      <c r="C48" s="506"/>
      <c r="D48" s="507"/>
      <c r="E48" s="508">
        <f t="shared" si="2"/>
        <v>0</v>
      </c>
      <c r="F48" s="509"/>
    </row>
    <row r="49" spans="1:6">
      <c r="A49" s="8"/>
      <c r="B49" s="513" t="s">
        <v>1882</v>
      </c>
      <c r="C49" s="506"/>
      <c r="D49" s="507"/>
      <c r="E49" s="508">
        <f t="shared" si="2"/>
        <v>0</v>
      </c>
      <c r="F49" s="509"/>
    </row>
    <row r="50" spans="1:6">
      <c r="A50" s="8"/>
      <c r="B50" s="513" t="s">
        <v>1883</v>
      </c>
      <c r="C50" s="506"/>
      <c r="D50" s="507"/>
      <c r="E50" s="508">
        <f t="shared" si="2"/>
        <v>0</v>
      </c>
      <c r="F50" s="509"/>
    </row>
    <row r="51" spans="1:6">
      <c r="A51" s="8"/>
      <c r="B51" s="513" t="s">
        <v>1884</v>
      </c>
      <c r="C51" s="506"/>
      <c r="D51" s="507"/>
      <c r="E51" s="508">
        <f>IFERROR(C51*D51,)</f>
        <v>0</v>
      </c>
      <c r="F51" s="509"/>
    </row>
    <row r="52" spans="1:6">
      <c r="A52" s="8"/>
      <c r="B52" s="513" t="s">
        <v>1885</v>
      </c>
      <c r="C52" s="506"/>
      <c r="D52" s="507"/>
      <c r="E52" s="508">
        <f t="shared" si="2"/>
        <v>0</v>
      </c>
      <c r="F52" s="509"/>
    </row>
    <row r="53" spans="1:6">
      <c r="A53" s="8"/>
      <c r="B53" s="513" t="s">
        <v>1886</v>
      </c>
      <c r="C53" s="506"/>
      <c r="D53" s="507"/>
      <c r="E53" s="508">
        <f t="shared" si="2"/>
        <v>0</v>
      </c>
      <c r="F53" s="509"/>
    </row>
    <row r="54" spans="1:6">
      <c r="A54" s="8"/>
      <c r="B54" s="513" t="s">
        <v>1887</v>
      </c>
      <c r="C54" s="506"/>
      <c r="D54" s="507"/>
      <c r="E54" s="508">
        <f t="shared" si="2"/>
        <v>0</v>
      </c>
      <c r="F54" s="509"/>
    </row>
    <row r="55" spans="1:6">
      <c r="A55" s="8"/>
      <c r="B55" s="513" t="s">
        <v>1888</v>
      </c>
      <c r="C55" s="506"/>
      <c r="D55" s="507"/>
      <c r="E55" s="508">
        <f t="shared" si="2"/>
        <v>0</v>
      </c>
      <c r="F55" s="509"/>
    </row>
    <row r="56" spans="1:6">
      <c r="A56" s="8"/>
      <c r="B56" s="513" t="s">
        <v>1889</v>
      </c>
      <c r="C56" s="506"/>
      <c r="D56" s="507"/>
      <c r="E56" s="508">
        <f t="shared" si="2"/>
        <v>0</v>
      </c>
      <c r="F56" s="509"/>
    </row>
    <row r="57" spans="1:6" ht="31.15" customHeight="1">
      <c r="A57" s="8"/>
      <c r="B57" s="505" t="s">
        <v>1871</v>
      </c>
      <c r="C57" s="514"/>
      <c r="D57" s="515"/>
      <c r="E57" s="516"/>
      <c r="F57" s="512"/>
    </row>
    <row r="58" spans="1:6">
      <c r="A58" s="8"/>
      <c r="B58" s="513" t="s">
        <v>1891</v>
      </c>
      <c r="C58" s="506"/>
      <c r="D58" s="507"/>
      <c r="E58" s="508">
        <f t="shared" si="2"/>
        <v>0</v>
      </c>
      <c r="F58" s="509"/>
    </row>
    <row r="59" spans="1:6">
      <c r="A59" s="8"/>
      <c r="B59" s="513" t="s">
        <v>1892</v>
      </c>
      <c r="C59" s="506"/>
      <c r="D59" s="507"/>
      <c r="E59" s="508">
        <f t="shared" si="2"/>
        <v>0</v>
      </c>
      <c r="F59" s="509"/>
    </row>
    <row r="60" spans="1:6">
      <c r="A60" s="8"/>
      <c r="B60" s="513" t="s">
        <v>1893</v>
      </c>
      <c r="C60" s="506"/>
      <c r="D60" s="507"/>
      <c r="E60" s="508">
        <f t="shared" si="2"/>
        <v>0</v>
      </c>
      <c r="F60" s="509"/>
    </row>
    <row r="61" spans="1:6">
      <c r="A61" s="8"/>
      <c r="B61" s="513" t="s">
        <v>1894</v>
      </c>
      <c r="C61" s="506"/>
      <c r="D61" s="507"/>
      <c r="E61" s="508">
        <f t="shared" si="2"/>
        <v>0</v>
      </c>
      <c r="F61" s="509"/>
    </row>
    <row r="62" spans="1:6">
      <c r="A62" s="8"/>
      <c r="B62" s="513" t="s">
        <v>1895</v>
      </c>
      <c r="C62" s="506"/>
      <c r="D62" s="507"/>
      <c r="E62" s="508">
        <f t="shared" si="2"/>
        <v>0</v>
      </c>
      <c r="F62" s="509"/>
    </row>
    <row r="63" spans="1:6">
      <c r="A63" s="8"/>
      <c r="B63" s="513" t="s">
        <v>1896</v>
      </c>
      <c r="C63" s="506"/>
      <c r="D63" s="507"/>
      <c r="E63" s="508">
        <f>IFERROR(C63*D63,)</f>
        <v>0</v>
      </c>
      <c r="F63" s="509"/>
    </row>
    <row r="64" spans="1:6">
      <c r="A64" s="8"/>
      <c r="B64" s="513" t="s">
        <v>1897</v>
      </c>
      <c r="C64" s="506"/>
      <c r="D64" s="507"/>
      <c r="E64" s="508">
        <f t="shared" si="2"/>
        <v>0</v>
      </c>
      <c r="F64" s="509"/>
    </row>
    <row r="65" spans="1:6">
      <c r="A65" s="8"/>
      <c r="B65" s="513" t="s">
        <v>1898</v>
      </c>
      <c r="C65" s="506"/>
      <c r="D65" s="507"/>
      <c r="E65" s="508">
        <f t="shared" si="2"/>
        <v>0</v>
      </c>
      <c r="F65" s="509"/>
    </row>
    <row r="66" spans="1:6">
      <c r="A66" s="8"/>
      <c r="B66" s="513" t="s">
        <v>1899</v>
      </c>
      <c r="C66" s="506"/>
      <c r="D66" s="507"/>
      <c r="E66" s="508">
        <f t="shared" si="2"/>
        <v>0</v>
      </c>
      <c r="F66" s="509"/>
    </row>
    <row r="67" spans="1:6">
      <c r="A67" s="8"/>
      <c r="B67" s="513" t="s">
        <v>1900</v>
      </c>
      <c r="C67" s="506"/>
      <c r="D67" s="507"/>
      <c r="E67" s="508">
        <f t="shared" si="2"/>
        <v>0</v>
      </c>
      <c r="F67" s="509"/>
    </row>
    <row r="68" spans="1:6">
      <c r="A68" s="8"/>
      <c r="B68" s="513" t="s">
        <v>1901</v>
      </c>
      <c r="C68" s="506"/>
      <c r="D68" s="507"/>
      <c r="E68" s="508">
        <f t="shared" si="2"/>
        <v>0</v>
      </c>
      <c r="F68" s="509"/>
    </row>
    <row r="69" spans="1:6" ht="22.15" customHeight="1">
      <c r="A69" s="8"/>
      <c r="B69" s="505" t="s">
        <v>1870</v>
      </c>
      <c r="C69" s="506"/>
      <c r="D69" s="507"/>
      <c r="E69" s="508">
        <f t="shared" ref="E69:E77" si="3">IFERROR(C69*D69,)</f>
        <v>0</v>
      </c>
      <c r="F69" s="509"/>
    </row>
    <row r="70" spans="1:6" ht="22.15" customHeight="1">
      <c r="A70" s="8">
        <v>20</v>
      </c>
      <c r="B70" s="505" t="s">
        <v>1838</v>
      </c>
      <c r="C70" s="506"/>
      <c r="D70" s="507"/>
      <c r="E70" s="508">
        <f t="shared" si="3"/>
        <v>0</v>
      </c>
      <c r="F70" s="509"/>
    </row>
    <row r="71" spans="1:6" ht="21" customHeight="1">
      <c r="A71" s="8">
        <v>21</v>
      </c>
      <c r="B71" s="505" t="s">
        <v>1839</v>
      </c>
      <c r="C71" s="506"/>
      <c r="D71" s="507"/>
      <c r="E71" s="508">
        <f t="shared" si="3"/>
        <v>0</v>
      </c>
      <c r="F71" s="509"/>
    </row>
    <row r="72" spans="1:6">
      <c r="A72" s="8">
        <v>22</v>
      </c>
      <c r="B72" s="505" t="s">
        <v>2112</v>
      </c>
      <c r="C72" s="506"/>
      <c r="D72" s="507"/>
      <c r="E72" s="508">
        <f t="shared" si="3"/>
        <v>0</v>
      </c>
      <c r="F72" s="509"/>
    </row>
    <row r="73" spans="1:6">
      <c r="A73" s="8">
        <v>23</v>
      </c>
      <c r="B73" s="505" t="s">
        <v>2113</v>
      </c>
      <c r="C73" s="506"/>
      <c r="D73" s="507"/>
      <c r="E73" s="508">
        <f t="shared" si="3"/>
        <v>0</v>
      </c>
      <c r="F73" s="509"/>
    </row>
    <row r="74" spans="1:6">
      <c r="A74" s="8">
        <v>24</v>
      </c>
      <c r="B74" s="505" t="s">
        <v>2114</v>
      </c>
      <c r="C74" s="506"/>
      <c r="D74" s="507"/>
      <c r="E74" s="508">
        <f t="shared" si="3"/>
        <v>0</v>
      </c>
      <c r="F74" s="509"/>
    </row>
    <row r="75" spans="1:6">
      <c r="A75" s="8">
        <v>25</v>
      </c>
      <c r="B75" s="505" t="s">
        <v>2115</v>
      </c>
      <c r="C75" s="506"/>
      <c r="D75" s="507"/>
      <c r="E75" s="508">
        <f t="shared" si="3"/>
        <v>0</v>
      </c>
      <c r="F75" s="509"/>
    </row>
    <row r="76" spans="1:6">
      <c r="A76" s="8">
        <v>26</v>
      </c>
      <c r="B76" s="505" t="s">
        <v>2116</v>
      </c>
      <c r="C76" s="506"/>
      <c r="D76" s="507"/>
      <c r="E76" s="508">
        <f t="shared" si="3"/>
        <v>0</v>
      </c>
      <c r="F76" s="509"/>
    </row>
    <row r="77" spans="1:6">
      <c r="A77" s="8">
        <v>27</v>
      </c>
      <c r="B77" s="505" t="s">
        <v>2117</v>
      </c>
      <c r="C77" s="506"/>
      <c r="D77" s="507"/>
      <c r="E77" s="508">
        <f t="shared" si="3"/>
        <v>0</v>
      </c>
      <c r="F77" s="509"/>
    </row>
    <row r="78" spans="1:6" ht="31.5">
      <c r="A78" s="8">
        <v>28</v>
      </c>
      <c r="B78" s="505" t="s">
        <v>1840</v>
      </c>
      <c r="C78" s="510"/>
      <c r="D78" s="510">
        <v>0</v>
      </c>
      <c r="E78" s="511"/>
      <c r="F78" s="512"/>
    </row>
    <row r="79" spans="1:6">
      <c r="A79" s="8">
        <v>28.1</v>
      </c>
      <c r="B79" s="513" t="s">
        <v>2118</v>
      </c>
      <c r="C79" s="506"/>
      <c r="D79" s="507"/>
      <c r="E79" s="508">
        <f t="shared" ref="E79:E84" si="4">IFERROR(C79*D79,)</f>
        <v>0</v>
      </c>
      <c r="F79" s="509"/>
    </row>
    <row r="80" spans="1:6">
      <c r="A80" s="8">
        <v>28.2</v>
      </c>
      <c r="B80" s="513" t="s">
        <v>2119</v>
      </c>
      <c r="C80" s="506"/>
      <c r="D80" s="507"/>
      <c r="E80" s="508">
        <f t="shared" si="4"/>
        <v>0</v>
      </c>
      <c r="F80" s="509"/>
    </row>
    <row r="81" spans="1:6">
      <c r="A81" s="8">
        <v>28.3</v>
      </c>
      <c r="B81" s="513" t="s">
        <v>2120</v>
      </c>
      <c r="C81" s="506"/>
      <c r="D81" s="507"/>
      <c r="E81" s="508">
        <f t="shared" si="4"/>
        <v>0</v>
      </c>
      <c r="F81" s="509"/>
    </row>
    <row r="82" spans="1:6">
      <c r="A82" s="8">
        <v>28.4</v>
      </c>
      <c r="B82" s="513" t="s">
        <v>2121</v>
      </c>
      <c r="C82" s="506"/>
      <c r="D82" s="507"/>
      <c r="E82" s="508">
        <f t="shared" si="4"/>
        <v>0</v>
      </c>
      <c r="F82" s="509"/>
    </row>
    <row r="83" spans="1:6">
      <c r="A83" s="8">
        <v>28.5</v>
      </c>
      <c r="B83" s="513" t="s">
        <v>2122</v>
      </c>
      <c r="C83" s="506"/>
      <c r="D83" s="507"/>
      <c r="E83" s="508">
        <f t="shared" si="4"/>
        <v>0</v>
      </c>
      <c r="F83" s="509"/>
    </row>
    <row r="84" spans="1:6">
      <c r="A84" s="8">
        <v>28.6</v>
      </c>
      <c r="B84" s="513" t="s">
        <v>2123</v>
      </c>
      <c r="C84" s="506"/>
      <c r="D84" s="507"/>
      <c r="E84" s="508">
        <f t="shared" si="4"/>
        <v>0</v>
      </c>
      <c r="F84" s="509"/>
    </row>
    <row r="85" spans="1:6" ht="31.5">
      <c r="A85" s="8">
        <v>29</v>
      </c>
      <c r="B85" s="505" t="s">
        <v>1841</v>
      </c>
      <c r="C85" s="510"/>
      <c r="D85" s="510"/>
      <c r="E85" s="511"/>
      <c r="F85" s="512"/>
    </row>
    <row r="86" spans="1:6">
      <c r="A86" s="8">
        <v>29.1</v>
      </c>
      <c r="B86" s="513" t="s">
        <v>1842</v>
      </c>
      <c r="C86" s="506"/>
      <c r="D86" s="507"/>
      <c r="E86" s="508">
        <f t="shared" ref="E86:E91" si="5">IFERROR(C86*D86,)</f>
        <v>0</v>
      </c>
      <c r="F86" s="509"/>
    </row>
    <row r="87" spans="1:6">
      <c r="A87" s="8">
        <v>29.2</v>
      </c>
      <c r="B87" s="513" t="s">
        <v>2124</v>
      </c>
      <c r="C87" s="506"/>
      <c r="D87" s="507"/>
      <c r="E87" s="508">
        <f t="shared" si="5"/>
        <v>0</v>
      </c>
      <c r="F87" s="509"/>
    </row>
    <row r="88" spans="1:6">
      <c r="A88" s="8">
        <v>30</v>
      </c>
      <c r="B88" s="505" t="s">
        <v>2125</v>
      </c>
      <c r="C88" s="506"/>
      <c r="D88" s="507"/>
      <c r="E88" s="508">
        <f t="shared" si="5"/>
        <v>0</v>
      </c>
      <c r="F88" s="509"/>
    </row>
    <row r="89" spans="1:6">
      <c r="A89" s="8">
        <v>31</v>
      </c>
      <c r="B89" s="505" t="s">
        <v>2126</v>
      </c>
      <c r="C89" s="506"/>
      <c r="D89" s="507"/>
      <c r="E89" s="508">
        <f t="shared" si="5"/>
        <v>0</v>
      </c>
      <c r="F89" s="509"/>
    </row>
    <row r="90" spans="1:6">
      <c r="A90" s="8">
        <v>32</v>
      </c>
      <c r="B90" s="505" t="s">
        <v>2127</v>
      </c>
      <c r="C90" s="506"/>
      <c r="D90" s="507"/>
      <c r="E90" s="508">
        <f t="shared" si="5"/>
        <v>0</v>
      </c>
      <c r="F90" s="509"/>
    </row>
    <row r="91" spans="1:6">
      <c r="A91" s="8">
        <v>33</v>
      </c>
      <c r="B91" s="505" t="s">
        <v>1797</v>
      </c>
      <c r="C91" s="506"/>
      <c r="D91" s="507"/>
      <c r="E91" s="508">
        <f t="shared" si="5"/>
        <v>0</v>
      </c>
      <c r="F91" s="509"/>
    </row>
    <row r="92" spans="1:6" s="31" customFormat="1" ht="31.5">
      <c r="A92" s="8">
        <v>0</v>
      </c>
      <c r="B92" s="517" t="s">
        <v>1814</v>
      </c>
      <c r="C92" s="518"/>
      <c r="D92" s="519"/>
      <c r="E92" s="503">
        <f>SUM($E$93:$E$105)</f>
        <v>0</v>
      </c>
      <c r="F92" s="504"/>
    </row>
    <row r="93" spans="1:6">
      <c r="A93" s="8">
        <v>34</v>
      </c>
      <c r="B93" s="505" t="s">
        <v>1811</v>
      </c>
      <c r="C93" s="506"/>
      <c r="D93" s="507"/>
      <c r="E93" s="508">
        <f t="shared" ref="E93:E105" si="6">IFERROR(C93*D93,)</f>
        <v>0</v>
      </c>
      <c r="F93" s="509"/>
    </row>
    <row r="94" spans="1:6">
      <c r="A94" s="8">
        <v>35</v>
      </c>
      <c r="B94" s="505" t="s">
        <v>1798</v>
      </c>
      <c r="C94" s="506"/>
      <c r="D94" s="507"/>
      <c r="E94" s="508">
        <f t="shared" si="6"/>
        <v>0</v>
      </c>
      <c r="F94" s="509"/>
    </row>
    <row r="95" spans="1:6">
      <c r="A95" s="8">
        <v>36</v>
      </c>
      <c r="B95" s="505" t="s">
        <v>1799</v>
      </c>
      <c r="C95" s="506"/>
      <c r="D95" s="507"/>
      <c r="E95" s="508">
        <f t="shared" si="6"/>
        <v>0</v>
      </c>
      <c r="F95" s="509"/>
    </row>
    <row r="96" spans="1:6">
      <c r="A96" s="8">
        <v>37</v>
      </c>
      <c r="B96" s="505" t="s">
        <v>1800</v>
      </c>
      <c r="C96" s="506"/>
      <c r="D96" s="507"/>
      <c r="E96" s="508">
        <f t="shared" si="6"/>
        <v>0</v>
      </c>
      <c r="F96" s="509"/>
    </row>
    <row r="97" spans="1:6">
      <c r="A97" s="8">
        <v>38</v>
      </c>
      <c r="B97" s="505" t="s">
        <v>1801</v>
      </c>
      <c r="C97" s="506"/>
      <c r="D97" s="507"/>
      <c r="E97" s="508">
        <f t="shared" si="6"/>
        <v>0</v>
      </c>
      <c r="F97" s="509"/>
    </row>
    <row r="98" spans="1:6">
      <c r="A98" s="8">
        <v>39</v>
      </c>
      <c r="B98" s="505" t="s">
        <v>1802</v>
      </c>
      <c r="C98" s="506"/>
      <c r="D98" s="507"/>
      <c r="E98" s="508">
        <f t="shared" si="6"/>
        <v>0</v>
      </c>
      <c r="F98" s="509"/>
    </row>
    <row r="99" spans="1:6">
      <c r="A99" s="8">
        <v>40</v>
      </c>
      <c r="B99" s="505" t="s">
        <v>1803</v>
      </c>
      <c r="C99" s="506"/>
      <c r="D99" s="507"/>
      <c r="E99" s="508">
        <f t="shared" si="6"/>
        <v>0</v>
      </c>
      <c r="F99" s="509"/>
    </row>
    <row r="100" spans="1:6">
      <c r="A100" s="8">
        <v>41</v>
      </c>
      <c r="B100" s="505" t="s">
        <v>1804</v>
      </c>
      <c r="C100" s="506"/>
      <c r="D100" s="507"/>
      <c r="E100" s="508">
        <f t="shared" si="6"/>
        <v>0</v>
      </c>
      <c r="F100" s="509"/>
    </row>
    <row r="101" spans="1:6">
      <c r="A101" s="8">
        <v>42</v>
      </c>
      <c r="B101" s="505" t="s">
        <v>1805</v>
      </c>
      <c r="C101" s="506"/>
      <c r="D101" s="507"/>
      <c r="E101" s="508">
        <f t="shared" si="6"/>
        <v>0</v>
      </c>
      <c r="F101" s="509"/>
    </row>
    <row r="102" spans="1:6">
      <c r="A102" s="8">
        <v>43</v>
      </c>
      <c r="B102" s="505" t="s">
        <v>1806</v>
      </c>
      <c r="C102" s="506"/>
      <c r="D102" s="507"/>
      <c r="E102" s="508">
        <f t="shared" si="6"/>
        <v>0</v>
      </c>
      <c r="F102" s="509"/>
    </row>
    <row r="103" spans="1:6">
      <c r="A103" s="8">
        <v>44</v>
      </c>
      <c r="B103" s="505" t="s">
        <v>1807</v>
      </c>
      <c r="C103" s="506"/>
      <c r="D103" s="507"/>
      <c r="E103" s="508">
        <f t="shared" si="6"/>
        <v>0</v>
      </c>
      <c r="F103" s="509"/>
    </row>
    <row r="104" spans="1:6">
      <c r="A104" s="8">
        <v>45</v>
      </c>
      <c r="B104" s="505" t="s">
        <v>1808</v>
      </c>
      <c r="C104" s="506"/>
      <c r="D104" s="507"/>
      <c r="E104" s="508">
        <f t="shared" si="6"/>
        <v>0</v>
      </c>
      <c r="F104" s="509"/>
    </row>
    <row r="105" spans="1:6">
      <c r="A105" s="8">
        <v>46</v>
      </c>
      <c r="B105" s="505" t="s">
        <v>1809</v>
      </c>
      <c r="C105" s="506"/>
      <c r="D105" s="507"/>
      <c r="E105" s="508">
        <f t="shared" si="6"/>
        <v>0</v>
      </c>
      <c r="F105" s="509"/>
    </row>
    <row r="106" spans="1:6">
      <c r="A106" s="8">
        <v>0</v>
      </c>
      <c r="B106" s="517" t="s">
        <v>1815</v>
      </c>
      <c r="C106" s="520"/>
      <c r="D106" s="521"/>
      <c r="E106" s="503">
        <f>SUM($E$107:$E$111)</f>
        <v>0</v>
      </c>
      <c r="F106" s="512"/>
    </row>
    <row r="107" spans="1:6">
      <c r="A107" s="8">
        <v>47</v>
      </c>
      <c r="B107" s="505" t="s">
        <v>1810</v>
      </c>
      <c r="C107" s="506"/>
      <c r="D107" s="507"/>
      <c r="E107" s="508">
        <f>IFERROR(C107*D107,)</f>
        <v>0</v>
      </c>
      <c r="F107" s="509"/>
    </row>
    <row r="108" spans="1:6" ht="31.5">
      <c r="A108" s="8">
        <v>48</v>
      </c>
      <c r="B108" s="505" t="s">
        <v>1843</v>
      </c>
      <c r="C108" s="506"/>
      <c r="D108" s="507"/>
      <c r="E108" s="508">
        <f>IFERROR(C108*D108,)</f>
        <v>0</v>
      </c>
      <c r="F108" s="509"/>
    </row>
    <row r="109" spans="1:6">
      <c r="A109" s="8">
        <v>49</v>
      </c>
      <c r="B109" s="505" t="s">
        <v>1844</v>
      </c>
      <c r="C109" s="506"/>
      <c r="D109" s="507"/>
      <c r="E109" s="508">
        <f>IFERROR(C109*D109,)</f>
        <v>0</v>
      </c>
      <c r="F109" s="509"/>
    </row>
    <row r="110" spans="1:6">
      <c r="A110" s="8">
        <v>50</v>
      </c>
      <c r="B110" s="522" t="s">
        <v>1812</v>
      </c>
      <c r="C110" s="506"/>
      <c r="D110" s="507"/>
      <c r="E110" s="508">
        <f>IFERROR(C110*D110,)</f>
        <v>0</v>
      </c>
      <c r="F110" s="509"/>
    </row>
    <row r="111" spans="1:6">
      <c r="A111" s="8">
        <v>51</v>
      </c>
      <c r="B111" s="522" t="s">
        <v>1813</v>
      </c>
      <c r="C111" s="506"/>
      <c r="D111" s="507"/>
      <c r="E111" s="508">
        <f>IFERROR(C111*D111,)</f>
        <v>0</v>
      </c>
      <c r="F111" s="509"/>
    </row>
    <row r="112" spans="1:6">
      <c r="A112" s="8"/>
      <c r="B112" s="500" t="s">
        <v>2021</v>
      </c>
      <c r="C112" s="520"/>
      <c r="D112" s="521"/>
      <c r="E112" s="503">
        <f>SUM($E$113:$E$123)</f>
        <v>0</v>
      </c>
      <c r="F112" s="512"/>
    </row>
    <row r="113" spans="1:256">
      <c r="A113" s="8"/>
      <c r="B113" s="523"/>
      <c r="C113" s="506"/>
      <c r="D113" s="507"/>
      <c r="E113" s="508">
        <f t="shared" ref="E113:E123" si="7">IFERROR(C113*D113,)</f>
        <v>0</v>
      </c>
      <c r="F113" s="509"/>
    </row>
    <row r="114" spans="1:256">
      <c r="A114" s="8"/>
      <c r="B114" s="523"/>
      <c r="C114" s="506"/>
      <c r="D114" s="507"/>
      <c r="E114" s="508">
        <f t="shared" si="7"/>
        <v>0</v>
      </c>
      <c r="F114" s="509"/>
    </row>
    <row r="115" spans="1:256">
      <c r="A115" s="8"/>
      <c r="B115" s="523"/>
      <c r="C115" s="506"/>
      <c r="D115" s="507"/>
      <c r="E115" s="508">
        <f t="shared" si="7"/>
        <v>0</v>
      </c>
      <c r="F115" s="509"/>
    </row>
    <row r="116" spans="1:256">
      <c r="A116" s="8"/>
      <c r="B116" s="523"/>
      <c r="C116" s="506"/>
      <c r="D116" s="507"/>
      <c r="E116" s="508">
        <f t="shared" si="7"/>
        <v>0</v>
      </c>
      <c r="F116" s="509"/>
    </row>
    <row r="117" spans="1:256">
      <c r="A117" s="8"/>
      <c r="B117" s="523"/>
      <c r="C117" s="506"/>
      <c r="D117" s="507"/>
      <c r="E117" s="508">
        <f t="shared" si="7"/>
        <v>0</v>
      </c>
      <c r="F117" s="509"/>
    </row>
    <row r="118" spans="1:256">
      <c r="A118" s="8"/>
      <c r="B118" s="523"/>
      <c r="C118" s="506"/>
      <c r="D118" s="507"/>
      <c r="E118" s="508">
        <f t="shared" si="7"/>
        <v>0</v>
      </c>
      <c r="F118" s="509"/>
    </row>
    <row r="119" spans="1:256">
      <c r="A119" s="8"/>
      <c r="B119" s="523"/>
      <c r="C119" s="506"/>
      <c r="D119" s="507"/>
      <c r="E119" s="508">
        <f t="shared" si="7"/>
        <v>0</v>
      </c>
      <c r="F119" s="509"/>
    </row>
    <row r="120" spans="1:256">
      <c r="A120" s="8"/>
      <c r="B120" s="523"/>
      <c r="C120" s="506"/>
      <c r="D120" s="507"/>
      <c r="E120" s="508">
        <f t="shared" si="7"/>
        <v>0</v>
      </c>
      <c r="F120" s="509"/>
    </row>
    <row r="121" spans="1:256">
      <c r="A121" s="8"/>
      <c r="B121" s="523"/>
      <c r="C121" s="506"/>
      <c r="D121" s="507"/>
      <c r="E121" s="508">
        <f t="shared" si="7"/>
        <v>0</v>
      </c>
      <c r="F121" s="509"/>
    </row>
    <row r="122" spans="1:256">
      <c r="A122" s="8"/>
      <c r="B122" s="523"/>
      <c r="C122" s="506"/>
      <c r="D122" s="507"/>
      <c r="E122" s="508">
        <f t="shared" si="7"/>
        <v>0</v>
      </c>
      <c r="F122" s="509"/>
    </row>
    <row r="123" spans="1:256">
      <c r="A123" s="8"/>
      <c r="B123" s="523"/>
      <c r="C123" s="506"/>
      <c r="D123" s="507"/>
      <c r="E123" s="508">
        <f t="shared" si="7"/>
        <v>0</v>
      </c>
      <c r="F123" s="509"/>
    </row>
    <row r="124" spans="1:256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:256" ht="94.5">
      <c r="A125" s="8"/>
      <c r="B125" s="14" t="s">
        <v>1837</v>
      </c>
      <c r="C125" s="13">
        <v>20000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:256" s="9" customFormat="1" ht="34.9" customHeight="1">
      <c r="A126" s="7"/>
      <c r="B126" s="23"/>
      <c r="C126" s="2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s="9" customFormat="1" ht="63.6" customHeight="1">
      <c r="A127" s="7"/>
      <c r="B127" s="1702" t="s">
        <v>1835</v>
      </c>
      <c r="C127" s="170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ht="23.25">
      <c r="B128" s="69" t="s">
        <v>2072</v>
      </c>
      <c r="C128" s="57"/>
      <c r="D128" s="1703"/>
      <c r="E128" s="1703"/>
      <c r="F128" s="1703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6" ht="23.25">
      <c r="B129" s="69" t="s">
        <v>2070</v>
      </c>
      <c r="C129" s="57"/>
      <c r="D129" s="1703"/>
      <c r="E129" s="1703"/>
      <c r="F129" s="1703"/>
    </row>
    <row r="130" spans="1:6" ht="23.25">
      <c r="B130" s="69" t="s">
        <v>2071</v>
      </c>
      <c r="C130" s="57">
        <f>SUMIFS(E79:E84,F79:F84,"більше 1 року",D79:D84,"&lt;20000")+SUMIFS(E86:E87,F86:F87,"більше 1 року",D86:D87,"&lt;20000")+SUMIFS(E89,F89,"більше 1 року",D89,"&lt;20000")</f>
        <v>0</v>
      </c>
      <c r="D130" s="1703"/>
      <c r="E130" s="1703"/>
      <c r="F130" s="1703"/>
    </row>
    <row r="132" spans="1:6" ht="25.9" customHeight="1"/>
    <row r="133" spans="1:6" ht="60" customHeight="1">
      <c r="B133" s="1702" t="s">
        <v>1836</v>
      </c>
      <c r="C133" s="1702"/>
    </row>
    <row r="134" spans="1:6" ht="25.9" customHeight="1">
      <c r="B134" s="69" t="s">
        <v>2072</v>
      </c>
      <c r="C134" s="57">
        <f>SUMIF(F9:F25,"до 1 року",E9:E25)+SUMIF(F27:F36,"до 1 року",E27:E36)+SUMIF(F38:F56,"до 1 року",E38:E56)+SUMIF(F58:F77,"до 1 року",E58:E77)+SUMIF(F88,"до 1 року",E88)+SUMIF(F90:F91,"до 1 року",E90:E91)+SUMIF(F93:F105,"до 1 року",E93:E105)+SUMIF(F107:F111,"до 1 року",E107:E111)+SUMIF(F113:F123,"до 1 року",E113:E123)</f>
        <v>0</v>
      </c>
    </row>
    <row r="135" spans="1:6" ht="25.9" customHeight="1">
      <c r="B135" s="69" t="s">
        <v>2070</v>
      </c>
      <c r="C135" s="62">
        <v>0</v>
      </c>
    </row>
    <row r="136" spans="1:6" ht="25.9" customHeight="1">
      <c r="B136" s="69" t="s">
        <v>2071</v>
      </c>
      <c r="C136" s="57">
        <v>0</v>
      </c>
    </row>
    <row r="137" spans="1:6" ht="25.9" customHeight="1"/>
    <row r="138" spans="1:6" ht="23.25">
      <c r="B138" s="25" t="s">
        <v>1825</v>
      </c>
      <c r="C138" s="26">
        <v>0.25</v>
      </c>
      <c r="D138" s="26">
        <v>0.25</v>
      </c>
      <c r="E138" s="26">
        <v>0.25</v>
      </c>
      <c r="F138" s="26">
        <v>0.25</v>
      </c>
    </row>
    <row r="139" spans="1:6" ht="25.9" customHeight="1">
      <c r="B139" s="27"/>
      <c r="C139" s="28"/>
      <c r="D139" s="28"/>
      <c r="E139" s="28"/>
      <c r="F139" s="28"/>
    </row>
    <row r="140" spans="1:6" ht="40.5">
      <c r="B140" s="10" t="s">
        <v>1787</v>
      </c>
      <c r="C140" s="29" t="s">
        <v>2000</v>
      </c>
      <c r="D140" s="29" t="s">
        <v>1994</v>
      </c>
      <c r="E140" s="29" t="s">
        <v>1995</v>
      </c>
      <c r="F140" s="29" t="s">
        <v>2073</v>
      </c>
    </row>
    <row r="141" spans="1:6" ht="26.25">
      <c r="B141" s="5" t="s">
        <v>2072</v>
      </c>
      <c r="C141" s="58">
        <f>15000</f>
        <v>15000</v>
      </c>
      <c r="D141" s="58">
        <f>C141</f>
        <v>15000</v>
      </c>
      <c r="E141" s="58">
        <f>D141</f>
        <v>15000</v>
      </c>
      <c r="F141" s="58">
        <f>E141</f>
        <v>15000</v>
      </c>
    </row>
    <row r="142" spans="1:6" ht="26.25">
      <c r="B142" s="5" t="s">
        <v>2070</v>
      </c>
      <c r="C142" s="58"/>
      <c r="D142" s="58"/>
      <c r="E142" s="58"/>
      <c r="F142" s="58"/>
    </row>
    <row r="143" spans="1:6" ht="26.25">
      <c r="B143" s="5" t="s">
        <v>2071</v>
      </c>
      <c r="C143" s="58">
        <f>C130*C138</f>
        <v>0</v>
      </c>
      <c r="D143" s="58">
        <f>C130*D138</f>
        <v>0</v>
      </c>
      <c r="E143" s="58">
        <f>C130*E138</f>
        <v>0</v>
      </c>
      <c r="F143" s="58">
        <f>C130*F138</f>
        <v>0</v>
      </c>
    </row>
    <row r="144" spans="1:6" s="61" customFormat="1" ht="38.450000000000003" customHeight="1">
      <c r="A144" s="59"/>
      <c r="B144" s="56" t="s">
        <v>1819</v>
      </c>
      <c r="C144" s="60">
        <f>C141+C142+C143</f>
        <v>15000</v>
      </c>
      <c r="D144" s="60">
        <f>D141+D142+D143</f>
        <v>15000</v>
      </c>
      <c r="E144" s="60">
        <f>E141+E142+E143</f>
        <v>15000</v>
      </c>
      <c r="F144" s="60">
        <f>F141+F142+F143</f>
        <v>15000</v>
      </c>
    </row>
    <row r="145" spans="1:6" ht="48.6" customHeight="1">
      <c r="B145" s="11"/>
      <c r="C145" s="30"/>
      <c r="D145" s="30"/>
      <c r="E145" s="30"/>
      <c r="F145" s="30"/>
    </row>
    <row r="146" spans="1:6" ht="23.25">
      <c r="B146" s="25" t="s">
        <v>1824</v>
      </c>
      <c r="C146" s="26">
        <v>0.25</v>
      </c>
      <c r="D146" s="26">
        <v>0.25</v>
      </c>
      <c r="E146" s="26">
        <v>0.25</v>
      </c>
      <c r="F146" s="26">
        <v>0.25</v>
      </c>
    </row>
    <row r="147" spans="1:6" ht="33.6" customHeight="1">
      <c r="B147" s="27"/>
      <c r="C147" s="28"/>
      <c r="D147" s="28"/>
      <c r="E147" s="28"/>
      <c r="F147" s="28"/>
    </row>
    <row r="148" spans="1:6" ht="97.15" customHeight="1">
      <c r="B148" s="12" t="s">
        <v>1826</v>
      </c>
      <c r="C148" s="29" t="s">
        <v>2000</v>
      </c>
      <c r="D148" s="29" t="s">
        <v>1994</v>
      </c>
      <c r="E148" s="29" t="s">
        <v>1995</v>
      </c>
      <c r="F148" s="29" t="s">
        <v>2073</v>
      </c>
    </row>
    <row r="149" spans="1:6" ht="32.450000000000003" customHeight="1">
      <c r="B149" s="5" t="s">
        <v>2072</v>
      </c>
      <c r="C149" s="58">
        <f>$C$134*C146</f>
        <v>0</v>
      </c>
      <c r="D149" s="58">
        <f>$C$134*D146</f>
        <v>0</v>
      </c>
      <c r="E149" s="58">
        <f>$C$134*E146</f>
        <v>0</v>
      </c>
      <c r="F149" s="58">
        <f>$C$134*F146</f>
        <v>0</v>
      </c>
    </row>
    <row r="150" spans="1:6" ht="29.45" customHeight="1">
      <c r="B150" s="5" t="s">
        <v>2070</v>
      </c>
      <c r="C150" s="58">
        <f>$C$135*C146</f>
        <v>0</v>
      </c>
      <c r="D150" s="58">
        <f>$C$135*D146</f>
        <v>0</v>
      </c>
      <c r="E150" s="58">
        <f>$C$135*E146</f>
        <v>0</v>
      </c>
      <c r="F150" s="58">
        <f>$C$135*F146</f>
        <v>0</v>
      </c>
    </row>
    <row r="151" spans="1:6" ht="30.6" customHeight="1">
      <c r="B151" s="5" t="s">
        <v>2071</v>
      </c>
      <c r="C151" s="58">
        <f>$C$136*C146</f>
        <v>0</v>
      </c>
      <c r="D151" s="58">
        <f>$C$136*D146</f>
        <v>0</v>
      </c>
      <c r="E151" s="58">
        <f>$C$136*E146</f>
        <v>0</v>
      </c>
      <c r="F151" s="58">
        <f>$C$136*F146</f>
        <v>0</v>
      </c>
    </row>
    <row r="152" spans="1:6" s="61" customFormat="1" ht="33" customHeight="1">
      <c r="A152" s="59"/>
      <c r="B152" s="56" t="s">
        <v>1819</v>
      </c>
      <c r="C152" s="60">
        <f>C149+C150+C151</f>
        <v>0</v>
      </c>
      <c r="D152" s="60">
        <f>D149+D150+D151</f>
        <v>0</v>
      </c>
      <c r="E152" s="60">
        <f>E149+E150+E151</f>
        <v>0</v>
      </c>
      <c r="F152" s="60">
        <f>F149+F150+F151</f>
        <v>0</v>
      </c>
    </row>
  </sheetData>
  <sheetProtection autoFilter="0"/>
  <protectedRanges>
    <protectedRange sqref="B113:B123" name="Найменування інші"/>
    <protectedRange sqref="D79:D84 D86:D91 D93:D105 D107:D111 D113:D123 D27:D77 D9:D25" name="Оціночна вартість"/>
  </protectedRanges>
  <autoFilter ref="B7:E7"/>
  <mergeCells count="7">
    <mergeCell ref="A2:AF2"/>
    <mergeCell ref="B3:E3"/>
    <mergeCell ref="B133:C133"/>
    <mergeCell ref="D129:F129"/>
    <mergeCell ref="D130:F130"/>
    <mergeCell ref="D128:F128"/>
    <mergeCell ref="B127:C127"/>
  </mergeCells>
  <phoneticPr fontId="0" type="noConversion"/>
  <conditionalFormatting sqref="C9:D123 F9:F123">
    <cfRule type="notContainsBlanks" dxfId="1" priority="3">
      <formula>LEN(TRIM(C9))&gt;0</formula>
    </cfRule>
    <cfRule type="notContainsBlanks" dxfId="0" priority="4">
      <formula>LEN(TRIM(C9))&gt;0</formula>
    </cfRule>
  </conditionalFormatting>
  <dataValidations count="2">
    <dataValidation type="decimal" operator="greaterThanOrEqual" allowBlank="1" showInputMessage="1" showErrorMessage="1" error="Розділення цілої та дробової частини числа має бути введено через крапку &quot;.&quot;_x000a_Наприклад: 23.10" sqref="D93:D105 D107:D111 D113:D123 D9:D91">
      <formula1>0</formula1>
    </dataValidation>
    <dataValidation type="list" allowBlank="1" showInputMessage="1" showErrorMessage="1" sqref="F9:F25 F38:F56 F27:F36 F58:F77 F113:F123 F107:F111 F86:F91 F93:F105 F79:F84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8"/>
  <sheetViews>
    <sheetView showGridLines="0" view="pageBreakPreview" zoomScale="50" zoomScaleNormal="50" zoomScaleSheetLayoutView="50" workbookViewId="0">
      <selection activeCell="H40" sqref="H40"/>
    </sheetView>
  </sheetViews>
  <sheetFormatPr defaultColWidth="8.85546875" defaultRowHeight="15" outlineLevelCol="1"/>
  <cols>
    <col min="1" max="1" width="14.28515625" style="45" customWidth="1"/>
    <col min="2" max="2" width="6.140625" style="36" bestFit="1" customWidth="1"/>
    <col min="3" max="3" width="175.7109375" style="36" customWidth="1"/>
    <col min="4" max="5" width="32.140625" style="36" customWidth="1"/>
    <col min="6" max="8" width="32.140625" style="36" customWidth="1" outlineLevel="1"/>
    <col min="9" max="9" width="21.28515625" style="36" bestFit="1" customWidth="1" outlineLevel="1"/>
    <col min="10" max="10" width="23.140625" style="36" customWidth="1" outlineLevel="1"/>
    <col min="11" max="11" width="24.28515625" style="36" customWidth="1" outlineLevel="1"/>
    <col min="12" max="12" width="15.28515625" style="36" customWidth="1" outlineLevel="1"/>
    <col min="13" max="13" width="19.140625" style="38" customWidth="1"/>
    <col min="14" max="14" width="18.7109375" style="36" customWidth="1"/>
    <col min="15" max="15" width="15" style="36" customWidth="1" outlineLevel="1"/>
    <col min="16" max="16" width="20.28515625" style="36" customWidth="1" outlineLevel="1"/>
    <col min="17" max="17" width="19.85546875" style="36" customWidth="1" outlineLevel="1"/>
    <col min="18" max="19" width="15" style="36" customWidth="1" outlineLevel="1"/>
    <col min="20" max="20" width="18.7109375" style="38" customWidth="1"/>
    <col min="21" max="21" width="18.7109375" style="36" customWidth="1"/>
    <col min="22" max="22" width="17" style="36" customWidth="1" outlineLevel="1"/>
    <col min="23" max="23" width="21.42578125" style="36" customWidth="1" outlineLevel="1"/>
    <col min="24" max="26" width="17" style="36" customWidth="1" outlineLevel="1"/>
    <col min="27" max="27" width="22.28515625" style="38" customWidth="1"/>
    <col min="28" max="28" width="19.7109375" style="36" customWidth="1"/>
    <col min="29" max="29" width="53.7109375" style="36" customWidth="1"/>
    <col min="30" max="30" width="31.85546875" style="36" customWidth="1"/>
    <col min="31" max="31" width="37.42578125" style="36" customWidth="1"/>
    <col min="32" max="32" width="24.28515625" style="36" customWidth="1"/>
    <col min="33" max="33" width="34.7109375" style="39" customWidth="1"/>
    <col min="34" max="37" width="20.28515625" style="36" customWidth="1"/>
    <col min="38" max="38" width="20.28515625" style="40" customWidth="1"/>
    <col min="39" max="39" width="15.5703125" style="36" customWidth="1"/>
    <col min="40" max="44" width="16" style="36" customWidth="1"/>
    <col min="45" max="45" width="18.42578125" style="36" customWidth="1"/>
    <col min="46" max="50" width="13.7109375" style="36" customWidth="1"/>
    <col min="51" max="51" width="18.28515625" style="36" customWidth="1"/>
    <col min="52" max="57" width="15.5703125" style="36" customWidth="1"/>
    <col min="58" max="16384" width="8.85546875" style="36"/>
  </cols>
  <sheetData>
    <row r="1" spans="1:38" s="74" customFormat="1">
      <c r="A1" s="73"/>
      <c r="M1" s="76"/>
      <c r="T1" s="76"/>
      <c r="AA1" s="76"/>
      <c r="AG1" s="77"/>
      <c r="AL1" s="75"/>
    </row>
    <row r="2" spans="1:38" s="39" customFormat="1" ht="45">
      <c r="A2" s="72"/>
      <c r="B2" s="1592" t="s">
        <v>1863</v>
      </c>
      <c r="C2" s="1592"/>
      <c r="D2" s="1592"/>
      <c r="E2" s="1592"/>
      <c r="F2" s="1592"/>
      <c r="G2" s="1592"/>
      <c r="H2" s="67"/>
      <c r="I2" s="722"/>
      <c r="J2" s="68"/>
      <c r="K2" s="68"/>
      <c r="L2" s="68"/>
      <c r="AL2" s="42"/>
    </row>
    <row r="3" spans="1:38" s="77" customFormat="1" ht="27">
      <c r="A3" s="702"/>
      <c r="B3" s="1593" t="s">
        <v>1903</v>
      </c>
      <c r="C3" s="1593"/>
      <c r="D3" s="711" t="s">
        <v>2002</v>
      </c>
      <c r="E3" s="711" t="s">
        <v>2003</v>
      </c>
      <c r="F3" s="711" t="s">
        <v>2004</v>
      </c>
      <c r="G3" s="711" t="s">
        <v>2005</v>
      </c>
      <c r="H3" s="711" t="s">
        <v>2006</v>
      </c>
      <c r="AL3" s="703"/>
    </row>
    <row r="4" spans="1:38" s="434" customFormat="1" ht="51.75" customHeight="1">
      <c r="A4" s="704"/>
      <c r="B4" s="1589" t="s">
        <v>778</v>
      </c>
      <c r="C4" s="1589"/>
      <c r="D4" s="1454">
        <f>SUM(D5:D16)</f>
        <v>13999680.530000001</v>
      </c>
      <c r="E4" s="1454">
        <f>SUM(E5:E16)</f>
        <v>14105728.220000001</v>
      </c>
      <c r="F4" s="1454">
        <f>SUM(F5:F16)</f>
        <v>13852671.02</v>
      </c>
      <c r="G4" s="1454">
        <f>SUM(G5:G16)</f>
        <v>13373959.060000001</v>
      </c>
      <c r="H4" s="1454">
        <f>D4+E4+F4+G4</f>
        <v>55332038.829999998</v>
      </c>
      <c r="I4" s="1420">
        <f>'[36]ДОХІД-ВИТРАТИ'!$P$11</f>
        <v>41110190.379999995</v>
      </c>
      <c r="J4" s="967">
        <f>I4-H4</f>
        <v>-14221848.450000003</v>
      </c>
      <c r="K4" s="705"/>
    </row>
    <row r="5" spans="1:38" s="707" customFormat="1" ht="27.75" hidden="1">
      <c r="A5" s="706"/>
      <c r="B5" s="713">
        <v>3</v>
      </c>
      <c r="C5" s="714" t="s">
        <v>767</v>
      </c>
      <c r="D5" s="715">
        <f>1196663.43</f>
        <v>1196663.43</v>
      </c>
      <c r="E5" s="715">
        <f>1227928.98</f>
        <v>1227928.98</v>
      </c>
      <c r="F5" s="715">
        <f>1189819.62</f>
        <v>1189819.6200000001</v>
      </c>
      <c r="G5" s="715">
        <f>801236.61+266051.28</f>
        <v>1067287.8900000001</v>
      </c>
      <c r="H5" s="715">
        <f>D5+E5+F5+G5</f>
        <v>4681699.92</v>
      </c>
      <c r="I5" s="723"/>
    </row>
    <row r="6" spans="1:38" s="707" customFormat="1" ht="27.75" hidden="1">
      <c r="A6" s="706"/>
      <c r="B6" s="713">
        <v>4</v>
      </c>
      <c r="C6" s="716" t="s">
        <v>768</v>
      </c>
      <c r="D6" s="715">
        <f>3933789.7</f>
        <v>3933789.7</v>
      </c>
      <c r="E6" s="715">
        <f>4033889.72</f>
        <v>4033889.72</v>
      </c>
      <c r="F6" s="715">
        <f>3857270.01</f>
        <v>3857270.01</v>
      </c>
      <c r="G6" s="715">
        <f>2492524.1+870932.48</f>
        <v>3363456.58</v>
      </c>
      <c r="H6" s="715">
        <f t="shared" ref="H6:H16" si="0">D6+E6+F6+G6</f>
        <v>15188406.01</v>
      </c>
      <c r="I6" s="723"/>
    </row>
    <row r="7" spans="1:38" s="707" customFormat="1" ht="27.75" hidden="1">
      <c r="A7" s="706"/>
      <c r="B7" s="717">
        <v>7</v>
      </c>
      <c r="C7" s="716" t="s">
        <v>769</v>
      </c>
      <c r="D7" s="715">
        <f>739949+145348</f>
        <v>885297</v>
      </c>
      <c r="E7" s="715">
        <f>770151</f>
        <v>770151</v>
      </c>
      <c r="F7" s="715">
        <f>604040</f>
        <v>604040</v>
      </c>
      <c r="G7" s="715">
        <v>558737</v>
      </c>
      <c r="H7" s="715">
        <f t="shared" si="0"/>
        <v>2818225</v>
      </c>
      <c r="I7" s="1346"/>
    </row>
    <row r="8" spans="1:38" s="707" customFormat="1" ht="55.5" hidden="1">
      <c r="A8" s="706"/>
      <c r="B8" s="717">
        <v>9</v>
      </c>
      <c r="C8" s="716" t="s">
        <v>770</v>
      </c>
      <c r="D8" s="715">
        <f>1130221.35</f>
        <v>1130221.3500000001</v>
      </c>
      <c r="E8" s="715">
        <f>1130221.35</f>
        <v>1130221.3500000001</v>
      </c>
      <c r="F8" s="715">
        <f>1130221.35</f>
        <v>1130221.3500000001</v>
      </c>
      <c r="G8" s="715">
        <f>753480.9+376740.45</f>
        <v>1130221.3500000001</v>
      </c>
      <c r="H8" s="715">
        <f t="shared" si="0"/>
        <v>4520885.4000000004</v>
      </c>
      <c r="I8" s="723"/>
    </row>
    <row r="9" spans="1:38" s="707" customFormat="1" ht="27.75" hidden="1">
      <c r="A9" s="706"/>
      <c r="B9" s="717">
        <v>11</v>
      </c>
      <c r="C9" s="716" t="s">
        <v>771</v>
      </c>
      <c r="D9" s="715">
        <f>64960</f>
        <v>64960</v>
      </c>
      <c r="E9" s="715">
        <f>97440</f>
        <v>97440</v>
      </c>
      <c r="F9" s="715">
        <f>4480</f>
        <v>4480</v>
      </c>
      <c r="G9" s="715">
        <v>2240</v>
      </c>
      <c r="H9" s="715">
        <f t="shared" si="0"/>
        <v>169120</v>
      </c>
      <c r="I9" s="723"/>
    </row>
    <row r="10" spans="1:38" s="707" customFormat="1" ht="27.75" hidden="1">
      <c r="A10" s="706"/>
      <c r="B10" s="717">
        <v>23</v>
      </c>
      <c r="C10" s="716" t="s">
        <v>772</v>
      </c>
      <c r="D10" s="715">
        <f>57123</f>
        <v>57123</v>
      </c>
      <c r="E10" s="715">
        <f>57123</f>
        <v>57123</v>
      </c>
      <c r="F10" s="715">
        <f>57123</f>
        <v>57123</v>
      </c>
      <c r="G10" s="715">
        <f>19041+38082</f>
        <v>57123</v>
      </c>
      <c r="H10" s="715">
        <f t="shared" si="0"/>
        <v>228492</v>
      </c>
      <c r="I10" s="723"/>
    </row>
    <row r="11" spans="1:38" s="707" customFormat="1" ht="27.75" hidden="1">
      <c r="A11" s="706"/>
      <c r="B11" s="717">
        <v>24</v>
      </c>
      <c r="C11" s="716" t="s">
        <v>773</v>
      </c>
      <c r="D11" s="715">
        <f>286515</f>
        <v>286515</v>
      </c>
      <c r="E11" s="715">
        <f>286515</f>
        <v>286515</v>
      </c>
      <c r="F11" s="715">
        <f>286515</f>
        <v>286515</v>
      </c>
      <c r="G11" s="715">
        <f>95505+191010</f>
        <v>286515</v>
      </c>
      <c r="H11" s="715">
        <f t="shared" si="0"/>
        <v>1146060</v>
      </c>
      <c r="I11" s="723"/>
    </row>
    <row r="12" spans="1:38" s="707" customFormat="1" ht="27.75" hidden="1">
      <c r="A12" s="706"/>
      <c r="B12" s="717">
        <v>34</v>
      </c>
      <c r="C12" s="716" t="s">
        <v>774</v>
      </c>
      <c r="D12" s="715"/>
      <c r="E12" s="715"/>
      <c r="F12" s="715"/>
      <c r="G12" s="715">
        <v>0</v>
      </c>
      <c r="H12" s="715">
        <f t="shared" si="0"/>
        <v>0</v>
      </c>
      <c r="I12" s="723"/>
    </row>
    <row r="13" spans="1:38" s="707" customFormat="1" ht="27.75" hidden="1">
      <c r="A13" s="706"/>
      <c r="B13" s="717">
        <v>35</v>
      </c>
      <c r="C13" s="716" t="s">
        <v>775</v>
      </c>
      <c r="D13" s="715">
        <f>250444</f>
        <v>250444</v>
      </c>
      <c r="E13" s="715">
        <f>263652</f>
        <v>263652</v>
      </c>
      <c r="F13" s="715">
        <f>244602</f>
        <v>244602</v>
      </c>
      <c r="G13" s="715">
        <v>156972</v>
      </c>
      <c r="H13" s="715">
        <f t="shared" si="0"/>
        <v>915670</v>
      </c>
      <c r="I13" s="723"/>
    </row>
    <row r="14" spans="1:38" s="707" customFormat="1" ht="27.75" hidden="1">
      <c r="A14" s="706"/>
      <c r="B14" s="717">
        <v>47</v>
      </c>
      <c r="C14" s="716" t="s">
        <v>776</v>
      </c>
      <c r="D14" s="715">
        <f>29264.43</f>
        <v>29264.43</v>
      </c>
      <c r="E14" s="715">
        <f>55325.2</f>
        <v>55325.2</v>
      </c>
      <c r="F14" s="715">
        <f>50829.84</f>
        <v>50829.84</v>
      </c>
      <c r="G14" s="715">
        <f>32367.73+9728.52</f>
        <v>42096.25</v>
      </c>
      <c r="H14" s="715">
        <f t="shared" si="0"/>
        <v>177515.72</v>
      </c>
      <c r="I14" s="723"/>
    </row>
    <row r="15" spans="1:38" s="707" customFormat="1" ht="55.5" hidden="1">
      <c r="A15" s="708"/>
      <c r="B15" s="718">
        <v>31</v>
      </c>
      <c r="C15" s="716" t="s">
        <v>777</v>
      </c>
      <c r="D15" s="715">
        <f>4071755.9</f>
        <v>4071755.9</v>
      </c>
      <c r="E15" s="715">
        <f>4345456.2</f>
        <v>4345456.2</v>
      </c>
      <c r="F15" s="715">
        <f>3269167.91+23790</f>
        <v>3292957.91</v>
      </c>
      <c r="G15" s="715">
        <f>2295956.14+941515.51</f>
        <v>3237471.6500000004</v>
      </c>
      <c r="H15" s="715">
        <f t="shared" si="0"/>
        <v>14947641.66</v>
      </c>
    </row>
    <row r="16" spans="1:38" s="435" customFormat="1" ht="59.25" hidden="1" customHeight="1">
      <c r="A16" s="709"/>
      <c r="B16" s="713"/>
      <c r="C16" s="719" t="s">
        <v>779</v>
      </c>
      <c r="D16" s="720">
        <v>2093646.72</v>
      </c>
      <c r="E16" s="715">
        <v>1838025.77</v>
      </c>
      <c r="F16" s="715">
        <v>3134812.29</v>
      </c>
      <c r="G16" s="715">
        <v>3471838.34</v>
      </c>
      <c r="H16" s="715">
        <f t="shared" si="0"/>
        <v>10538323.120000001</v>
      </c>
      <c r="I16" s="710"/>
      <c r="J16" s="727"/>
    </row>
    <row r="17" spans="1:38" s="434" customFormat="1" ht="27" customHeight="1">
      <c r="A17" s="704"/>
      <c r="B17" s="1587" t="s">
        <v>1864</v>
      </c>
      <c r="C17" s="1587"/>
      <c r="D17" s="712">
        <f>D23</f>
        <v>2272670.4741830165</v>
      </c>
      <c r="E17" s="712">
        <f>E23</f>
        <v>775787.69058346737</v>
      </c>
      <c r="F17" s="712">
        <f>F23</f>
        <v>478008.10506355757</v>
      </c>
      <c r="G17" s="712">
        <f>G23</f>
        <v>2062872.0440657611</v>
      </c>
      <c r="H17" s="712">
        <f>D17+E17+F17+G17</f>
        <v>5589338.3138958029</v>
      </c>
      <c r="I17" s="435"/>
      <c r="J17" s="705"/>
      <c r="K17" s="705"/>
    </row>
    <row r="18" spans="1:38" s="434" customFormat="1" ht="27">
      <c r="A18" s="704"/>
      <c r="B18" s="1587" t="s">
        <v>780</v>
      </c>
      <c r="C18" s="1587"/>
      <c r="D18" s="712">
        <f>D27+D28+D29+D30</f>
        <v>357300</v>
      </c>
      <c r="E18" s="712">
        <f>E27+E28+E29+E30</f>
        <v>357300</v>
      </c>
      <c r="F18" s="712">
        <f>F27+F28+F29+F30</f>
        <v>357300</v>
      </c>
      <c r="G18" s="712">
        <f>G27+G28+G29+G30</f>
        <v>357300</v>
      </c>
      <c r="H18" s="712">
        <f>D18+E18+F18+G18</f>
        <v>1429200</v>
      </c>
      <c r="I18" s="435"/>
      <c r="J18" s="705"/>
      <c r="K18" s="705"/>
    </row>
    <row r="19" spans="1:38" s="435" customFormat="1" ht="27">
      <c r="A19" s="709"/>
      <c r="B19" s="1587" t="s">
        <v>781</v>
      </c>
      <c r="C19" s="1587"/>
      <c r="D19" s="712">
        <f>D4+D18+D17</f>
        <v>16629651.004183017</v>
      </c>
      <c r="E19" s="712">
        <f>E4+E18+E17</f>
        <v>15238815.910583468</v>
      </c>
      <c r="F19" s="712">
        <f>F4+F18+F17</f>
        <v>14687979.125063557</v>
      </c>
      <c r="G19" s="712">
        <f>G4+G18+G17</f>
        <v>15794131.104065761</v>
      </c>
      <c r="H19" s="712">
        <f>H4+H18+H17</f>
        <v>62350577.143895805</v>
      </c>
      <c r="I19" s="727">
        <f ca="1">'!!! ФІНАНСОВИЙ ПЛАН 2023 !!!'!F80</f>
        <v>62350577.143895805</v>
      </c>
      <c r="J19" s="727">
        <f>I19-H19</f>
        <v>0</v>
      </c>
      <c r="AL19" s="434"/>
    </row>
    <row r="20" spans="1:38" s="435" customFormat="1" ht="23.25">
      <c r="A20" s="709"/>
      <c r="B20" s="1591" t="s">
        <v>2128</v>
      </c>
      <c r="C20" s="1591"/>
      <c r="D20" s="1347">
        <f>D4/3</f>
        <v>4666560.1766666668</v>
      </c>
      <c r="E20" s="1347">
        <f>E4/3</f>
        <v>4701909.4066666672</v>
      </c>
      <c r="F20" s="1347">
        <f>F4/3</f>
        <v>4617557.0066666668</v>
      </c>
      <c r="G20" s="1347">
        <f>G4/3</f>
        <v>4457986.3533333335</v>
      </c>
      <c r="H20" s="1347">
        <f>H19/12</f>
        <v>5195881.4286579834</v>
      </c>
      <c r="AL20" s="434"/>
    </row>
    <row r="21" spans="1:38" s="74" customFormat="1" ht="27.75">
      <c r="A21" s="73"/>
      <c r="B21" s="1590" t="s">
        <v>2136</v>
      </c>
      <c r="C21" s="1590"/>
      <c r="D21" s="1590"/>
      <c r="E21" s="1590"/>
      <c r="F21" s="1590"/>
      <c r="G21" s="1590"/>
      <c r="H21" s="721"/>
      <c r="M21" s="76"/>
      <c r="T21" s="76"/>
      <c r="AA21" s="76"/>
      <c r="AG21" s="77"/>
      <c r="AL21" s="75"/>
    </row>
    <row r="22" spans="1:38" s="74" customFormat="1" ht="27">
      <c r="A22" s="73"/>
      <c r="B22" s="1598" t="s">
        <v>1903</v>
      </c>
      <c r="C22" s="1598"/>
      <c r="D22" s="711" t="s">
        <v>2002</v>
      </c>
      <c r="E22" s="711" t="s">
        <v>2003</v>
      </c>
      <c r="F22" s="711" t="s">
        <v>2004</v>
      </c>
      <c r="G22" s="711" t="s">
        <v>2005</v>
      </c>
      <c r="H22" s="711" t="s">
        <v>2006</v>
      </c>
      <c r="M22" s="76"/>
      <c r="T22" s="76"/>
      <c r="AA22" s="76"/>
      <c r="AG22" s="77"/>
      <c r="AL22" s="75"/>
    </row>
    <row r="23" spans="1:38" s="77" customFormat="1" ht="27.75">
      <c r="A23" s="702"/>
      <c r="B23" s="1588" t="s">
        <v>1864</v>
      </c>
      <c r="C23" s="1588"/>
      <c r="D23" s="715">
        <f>D24+D25+D26</f>
        <v>2272670.4741830165</v>
      </c>
      <c r="E23" s="715">
        <f>E24+E25+E26</f>
        <v>775787.69058346737</v>
      </c>
      <c r="F23" s="715">
        <f>F24+F25+F26</f>
        <v>478008.10506355757</v>
      </c>
      <c r="G23" s="715">
        <f>G24+G25+G26</f>
        <v>2062872.0440657611</v>
      </c>
      <c r="H23" s="715">
        <f>SUM(D23:G23)</f>
        <v>5589338.3138958029</v>
      </c>
      <c r="AL23" s="703"/>
    </row>
    <row r="24" spans="1:38" s="77" customFormat="1" ht="27.75">
      <c r="A24" s="702"/>
      <c r="B24" s="1596" t="s">
        <v>782</v>
      </c>
      <c r="C24" s="1597"/>
      <c r="D24" s="715">
        <f ca="1">Енергоносії!O3</f>
        <v>2272670.4741830165</v>
      </c>
      <c r="E24" s="715">
        <f ca="1">Енергоносії!P3</f>
        <v>775787.69058346737</v>
      </c>
      <c r="F24" s="715">
        <f ca="1">Енергоносії!Q3</f>
        <v>478008.10506355757</v>
      </c>
      <c r="G24" s="715">
        <f ca="1">Енергоносії!R3</f>
        <v>2062872.0440657611</v>
      </c>
      <c r="H24" s="715">
        <f>SUM(D24:G24)</f>
        <v>5589338.3138958029</v>
      </c>
      <c r="AL24" s="703"/>
    </row>
    <row r="25" spans="1:38" s="77" customFormat="1" ht="27.75">
      <c r="A25" s="702"/>
      <c r="B25" s="1594" t="s">
        <v>805</v>
      </c>
      <c r="C25" s="1595"/>
      <c r="D25" s="715">
        <v>0</v>
      </c>
      <c r="E25" s="715">
        <v>0</v>
      </c>
      <c r="F25" s="715">
        <v>0</v>
      </c>
      <c r="G25" s="715">
        <v>0</v>
      </c>
      <c r="H25" s="715">
        <f>SUM(D25:G25)</f>
        <v>0</v>
      </c>
      <c r="AL25" s="703"/>
    </row>
    <row r="26" spans="1:38" s="77" customFormat="1" ht="27.75">
      <c r="A26" s="702"/>
      <c r="B26" s="1588" t="s">
        <v>2141</v>
      </c>
      <c r="C26" s="1588"/>
      <c r="D26" s="715">
        <v>0</v>
      </c>
      <c r="E26" s="715">
        <v>0</v>
      </c>
      <c r="F26" s="715">
        <v>0</v>
      </c>
      <c r="G26" s="715">
        <v>0</v>
      </c>
      <c r="H26" s="715">
        <f>SUM(D26:G26)</f>
        <v>0</v>
      </c>
      <c r="AL26" s="703"/>
    </row>
    <row r="27" spans="1:38" s="77" customFormat="1" ht="27.75">
      <c r="A27" s="702"/>
      <c r="B27" s="1588" t="s">
        <v>452</v>
      </c>
      <c r="C27" s="1588"/>
      <c r="D27" s="715">
        <f>47500*3</f>
        <v>142500</v>
      </c>
      <c r="E27" s="715">
        <f t="shared" ref="E27:G30" si="1">D27</f>
        <v>142500</v>
      </c>
      <c r="F27" s="715">
        <f t="shared" si="1"/>
        <v>142500</v>
      </c>
      <c r="G27" s="715">
        <f t="shared" si="1"/>
        <v>142500</v>
      </c>
      <c r="H27" s="715">
        <f t="shared" ref="H27:H33" si="2">SUM(D27:G27)</f>
        <v>570000</v>
      </c>
      <c r="I27" s="1537"/>
      <c r="J27" s="1537"/>
      <c r="AL27" s="703"/>
    </row>
    <row r="28" spans="1:38" s="77" customFormat="1" ht="27.75">
      <c r="A28" s="702"/>
      <c r="B28" s="1588" t="s">
        <v>2074</v>
      </c>
      <c r="C28" s="1588"/>
      <c r="D28" s="715">
        <f>(12000*3)+58500*3</f>
        <v>211500</v>
      </c>
      <c r="E28" s="715">
        <f t="shared" si="1"/>
        <v>211500</v>
      </c>
      <c r="F28" s="715">
        <f t="shared" si="1"/>
        <v>211500</v>
      </c>
      <c r="G28" s="715">
        <f t="shared" si="1"/>
        <v>211500</v>
      </c>
      <c r="H28" s="715">
        <f t="shared" si="2"/>
        <v>846000</v>
      </c>
      <c r="I28" s="1537"/>
      <c r="AL28" s="703"/>
    </row>
    <row r="29" spans="1:38" s="77" customFormat="1" ht="27.75">
      <c r="A29" s="702"/>
      <c r="B29" s="1588" t="s">
        <v>2042</v>
      </c>
      <c r="C29" s="1588"/>
      <c r="D29" s="715">
        <f>100*3</f>
        <v>300</v>
      </c>
      <c r="E29" s="715">
        <f t="shared" si="1"/>
        <v>300</v>
      </c>
      <c r="F29" s="715">
        <f t="shared" si="1"/>
        <v>300</v>
      </c>
      <c r="G29" s="715">
        <f t="shared" si="1"/>
        <v>300</v>
      </c>
      <c r="H29" s="715">
        <f t="shared" si="2"/>
        <v>1200</v>
      </c>
      <c r="AL29" s="703"/>
    </row>
    <row r="30" spans="1:38" s="77" customFormat="1" ht="27.75">
      <c r="A30" s="702"/>
      <c r="B30" s="1588" t="s">
        <v>2043</v>
      </c>
      <c r="C30" s="1588"/>
      <c r="D30" s="715">
        <f>3000</f>
        <v>3000</v>
      </c>
      <c r="E30" s="715">
        <f t="shared" si="1"/>
        <v>3000</v>
      </c>
      <c r="F30" s="715">
        <f t="shared" si="1"/>
        <v>3000</v>
      </c>
      <c r="G30" s="715">
        <f t="shared" si="1"/>
        <v>3000</v>
      </c>
      <c r="H30" s="715">
        <f t="shared" si="2"/>
        <v>12000</v>
      </c>
      <c r="AL30" s="703"/>
    </row>
    <row r="31" spans="1:38" s="77" customFormat="1" ht="27.75">
      <c r="A31" s="702"/>
      <c r="B31" s="1588" t="s">
        <v>2001</v>
      </c>
      <c r="C31" s="1588"/>
      <c r="D31" s="715"/>
      <c r="E31" s="715"/>
      <c r="F31" s="715"/>
      <c r="G31" s="715"/>
      <c r="H31" s="715">
        <f t="shared" si="2"/>
        <v>0</v>
      </c>
      <c r="AL31" s="703"/>
    </row>
    <row r="32" spans="1:38" s="77" customFormat="1" ht="27.75">
      <c r="A32" s="702"/>
      <c r="B32" s="1588" t="s">
        <v>2050</v>
      </c>
      <c r="C32" s="1588"/>
      <c r="D32" s="715"/>
      <c r="E32" s="715"/>
      <c r="F32" s="715"/>
      <c r="G32" s="715"/>
      <c r="H32" s="715">
        <f t="shared" si="2"/>
        <v>0</v>
      </c>
      <c r="AL32" s="703"/>
    </row>
    <row r="33" spans="1:38" s="77" customFormat="1" ht="27.75">
      <c r="A33" s="702"/>
      <c r="B33" s="1588" t="s">
        <v>806</v>
      </c>
      <c r="C33" s="1588"/>
      <c r="D33" s="712"/>
      <c r="E33" s="715"/>
      <c r="F33" s="715"/>
      <c r="G33" s="715"/>
      <c r="H33" s="715">
        <f t="shared" si="2"/>
        <v>0</v>
      </c>
      <c r="AL33" s="703"/>
    </row>
    <row r="34" spans="1:38" s="77" customFormat="1" ht="30.75" customHeight="1">
      <c r="A34" s="702"/>
      <c r="B34" s="1587" t="s">
        <v>436</v>
      </c>
      <c r="C34" s="1587"/>
      <c r="D34" s="715">
        <f>D23+D27+D28+D29+D30+D31+D32+D33</f>
        <v>2629970.4741830165</v>
      </c>
      <c r="E34" s="715">
        <f>E23+E27+E28+E29+E30+E31+E32+E33</f>
        <v>1133087.6905834675</v>
      </c>
      <c r="F34" s="715">
        <f>F23+F27+F28+F29+F30+F31+F32+F33</f>
        <v>835308.10506355762</v>
      </c>
      <c r="G34" s="715">
        <f>G23+G27+G28+G29+G30+G31+G32+G33</f>
        <v>2420172.0440657614</v>
      </c>
      <c r="H34" s="715">
        <f>H23+H27+H28+H29+H30+H31+H32+H33</f>
        <v>7018538.3138958029</v>
      </c>
      <c r="AL34" s="703"/>
    </row>
    <row r="35" spans="1:38" s="74" customFormat="1">
      <c r="A35" s="73"/>
      <c r="M35" s="76"/>
      <c r="T35" s="76"/>
      <c r="AA35" s="76"/>
      <c r="AG35" s="77"/>
      <c r="AL35" s="75"/>
    </row>
    <row r="36" spans="1:38" s="74" customFormat="1" ht="23.25" hidden="1">
      <c r="A36" s="73"/>
      <c r="D36" s="1453">
        <f ca="1">'!!! ФІНАНСОВИЙ ПЛАН 2023 !!!'!H82</f>
        <v>-3.7096980959177017E-3</v>
      </c>
      <c r="E36" s="1453">
        <f ca="1">'!!! ФІНАНСОВИЙ ПЛАН 2023 !!!'!I82</f>
        <v>3.8409512490034103E-3</v>
      </c>
      <c r="F36" s="1453">
        <f ca="1">'!!! ФІНАНСОВИЙ ПЛАН 2023 !!!'!J82</f>
        <v>-4.6309269964694977E-3</v>
      </c>
      <c r="G36" s="1453">
        <f ca="1">'!!! ФІНАНСОВИЙ ПЛАН 2023 !!!'!K82</f>
        <v>-4.091992974281311E-3</v>
      </c>
      <c r="M36" s="76"/>
      <c r="T36" s="76"/>
      <c r="AA36" s="76"/>
      <c r="AG36" s="77"/>
      <c r="AL36" s="75"/>
    </row>
    <row r="37" spans="1:38" s="74" customFormat="1" ht="18.75" hidden="1">
      <c r="A37" s="73"/>
      <c r="H37" s="1227">
        <f>H27+H28+H29+H30</f>
        <v>1429200</v>
      </c>
      <c r="M37" s="76"/>
      <c r="T37" s="76"/>
      <c r="AA37" s="76"/>
      <c r="AG37" s="77"/>
      <c r="AL37" s="75"/>
    </row>
    <row r="38" spans="1:38" s="74" customFormat="1" hidden="1">
      <c r="A38" s="73"/>
      <c r="M38" s="76"/>
      <c r="T38" s="76"/>
      <c r="AA38" s="76"/>
      <c r="AG38" s="77"/>
      <c r="AL38" s="75"/>
    </row>
    <row r="39" spans="1:38" s="74" customFormat="1">
      <c r="A39" s="73"/>
      <c r="M39" s="76"/>
      <c r="T39" s="76"/>
      <c r="AA39" s="76"/>
      <c r="AG39" s="77"/>
      <c r="AL39" s="75"/>
    </row>
    <row r="40" spans="1:38" s="74" customFormat="1">
      <c r="A40" s="73"/>
      <c r="M40" s="76"/>
      <c r="T40" s="76"/>
      <c r="AA40" s="76"/>
      <c r="AG40" s="77"/>
      <c r="AL40" s="75"/>
    </row>
    <row r="41" spans="1:38" s="74" customFormat="1">
      <c r="A41" s="73"/>
      <c r="M41" s="76"/>
      <c r="T41" s="76"/>
      <c r="AA41" s="76"/>
      <c r="AG41" s="77"/>
      <c r="AL41" s="75"/>
    </row>
    <row r="42" spans="1:38" s="74" customFormat="1">
      <c r="A42" s="73"/>
      <c r="M42" s="76"/>
      <c r="T42" s="76"/>
      <c r="AA42" s="76"/>
      <c r="AG42" s="77"/>
      <c r="AL42" s="75"/>
    </row>
    <row r="43" spans="1:38" s="74" customFormat="1">
      <c r="A43" s="73"/>
      <c r="M43" s="76"/>
      <c r="T43" s="76"/>
      <c r="AA43" s="76"/>
      <c r="AG43" s="77"/>
      <c r="AL43" s="75"/>
    </row>
    <row r="44" spans="1:38" s="74" customFormat="1">
      <c r="A44" s="73"/>
      <c r="M44" s="76"/>
      <c r="T44" s="76"/>
      <c r="AA44" s="76"/>
      <c r="AG44" s="77"/>
      <c r="AL44" s="75"/>
    </row>
    <row r="45" spans="1:38" s="74" customFormat="1">
      <c r="A45" s="73"/>
      <c r="M45" s="76"/>
      <c r="T45" s="76"/>
      <c r="AA45" s="76"/>
      <c r="AG45" s="77"/>
      <c r="AL45" s="75"/>
    </row>
    <row r="46" spans="1:38" s="74" customFormat="1">
      <c r="A46" s="73"/>
      <c r="M46" s="76"/>
      <c r="T46" s="76"/>
      <c r="AA46" s="76"/>
      <c r="AG46" s="77"/>
      <c r="AL46" s="75"/>
    </row>
    <row r="47" spans="1:38" s="74" customFormat="1">
      <c r="A47" s="73"/>
      <c r="M47" s="76"/>
      <c r="T47" s="76"/>
      <c r="AA47" s="76"/>
      <c r="AG47" s="77"/>
      <c r="AL47" s="75"/>
    </row>
    <row r="48" spans="1:38" s="74" customFormat="1">
      <c r="A48" s="73"/>
      <c r="M48" s="76"/>
      <c r="T48" s="76"/>
      <c r="AA48" s="76"/>
      <c r="AG48" s="77"/>
      <c r="AL48" s="75"/>
    </row>
  </sheetData>
  <mergeCells count="21">
    <mergeCell ref="B2:G2"/>
    <mergeCell ref="B19:C19"/>
    <mergeCell ref="B3:C3"/>
    <mergeCell ref="B18:C18"/>
    <mergeCell ref="B25:C25"/>
    <mergeCell ref="B26:C26"/>
    <mergeCell ref="B24:C24"/>
    <mergeCell ref="B22:C22"/>
    <mergeCell ref="B4:C4"/>
    <mergeCell ref="B21:G21"/>
    <mergeCell ref="B23:C23"/>
    <mergeCell ref="B20:C20"/>
    <mergeCell ref="B17:C17"/>
    <mergeCell ref="B28:C28"/>
    <mergeCell ref="B27:C27"/>
    <mergeCell ref="B34:C34"/>
    <mergeCell ref="B33:C33"/>
    <mergeCell ref="B31:C31"/>
    <mergeCell ref="B29:C29"/>
    <mergeCell ref="B32:C32"/>
    <mergeCell ref="B30:C30"/>
  </mergeCells>
  <phoneticPr fontId="0" type="noConversion"/>
  <conditionalFormatting sqref="D24:G33">
    <cfRule type="notContainsBlanks" dxfId="5" priority="660">
      <formula>LEN(TRIM(D24))&gt;0</formula>
    </cfRule>
  </conditionalFormatting>
  <pageMargins left="0.7" right="0.7" top="0.75" bottom="0.75" header="0.3" footer="0.3"/>
  <pageSetup paperSize="9"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5"/>
  <sheetViews>
    <sheetView showGridLines="0" view="pageBreakPreview" zoomScale="50" zoomScaleNormal="60" zoomScaleSheetLayoutView="50" workbookViewId="0">
      <pane xSplit="8" ySplit="8" topLeftCell="I78" activePane="bottomRight" state="frozen"/>
      <selection pane="topRight" activeCell="I1" sqref="I1"/>
      <selection pane="bottomLeft" activeCell="A9" sqref="A9"/>
      <selection pane="bottomRight" activeCell="I34" sqref="I34"/>
    </sheetView>
  </sheetViews>
  <sheetFormatPr defaultRowHeight="20.25"/>
  <cols>
    <col min="1" max="1" width="16.140625" style="18" bestFit="1" customWidth="1"/>
    <col min="2" max="2" width="18" style="49" bestFit="1" customWidth="1"/>
    <col min="3" max="3" width="89.5703125" style="18" customWidth="1"/>
    <col min="4" max="4" width="28" style="18" customWidth="1"/>
    <col min="5" max="8" width="25.85546875" style="18" customWidth="1"/>
    <col min="9" max="9" width="26.85546875" style="46" customWidth="1"/>
    <col min="10" max="12" width="26.85546875" style="18" customWidth="1"/>
    <col min="13" max="16" width="20.140625" style="18" bestFit="1" customWidth="1"/>
    <col min="17" max="17" width="21.7109375" style="44" bestFit="1" customWidth="1"/>
    <col min="18" max="21" width="17.28515625" style="18" customWidth="1"/>
    <col min="22" max="22" width="20.140625" style="44" bestFit="1" customWidth="1"/>
    <col min="23" max="26" width="17.5703125" style="18" bestFit="1" customWidth="1"/>
    <col min="27" max="27" width="20.140625" style="44" bestFit="1" customWidth="1"/>
    <col min="28" max="31" width="20.140625" style="18" bestFit="1" customWidth="1"/>
    <col min="32" max="32" width="20.140625" style="44" bestFit="1" customWidth="1"/>
    <col min="33" max="36" width="20.140625" style="18" bestFit="1" customWidth="1"/>
    <col min="37" max="37" width="21.7109375" style="44" bestFit="1" customWidth="1"/>
    <col min="38" max="39" width="16" style="79" hidden="1" customWidth="1"/>
    <col min="40" max="41" width="16.42578125" style="79" hidden="1" customWidth="1"/>
    <col min="42" max="42" width="17.5703125" style="80" hidden="1" customWidth="1"/>
    <col min="43" max="46" width="20.140625" style="18" bestFit="1" customWidth="1"/>
    <col min="47" max="47" width="22" style="44" bestFit="1" customWidth="1"/>
    <col min="48" max="52" width="20.140625" style="18" bestFit="1" customWidth="1"/>
    <col min="53" max="53" width="11.85546875" style="18" customWidth="1"/>
    <col min="54" max="54" width="15" style="18" customWidth="1"/>
    <col min="55" max="55" width="14.5703125" style="18" customWidth="1"/>
    <col min="56" max="73" width="14" style="18" customWidth="1"/>
    <col min="74" max="74" width="14.140625" style="18" customWidth="1"/>
    <col min="75" max="75" width="15.140625" style="18" customWidth="1"/>
    <col min="76" max="76" width="18.85546875" style="18" customWidth="1"/>
    <col min="77" max="77" width="24.28515625" style="18" customWidth="1"/>
    <col min="78" max="82" width="17.85546875" style="18" customWidth="1"/>
    <col min="83" max="83" width="15.85546875" style="18" customWidth="1"/>
    <col min="84" max="85" width="19.7109375" style="18" customWidth="1"/>
    <col min="86" max="86" width="23.42578125" style="18" customWidth="1"/>
    <col min="87" max="87" width="11.85546875" style="18" customWidth="1"/>
    <col min="88" max="88" width="16.28515625" style="18" customWidth="1"/>
    <col min="89" max="91" width="11.85546875" style="18" customWidth="1"/>
    <col min="92" max="92" width="17" style="18" customWidth="1"/>
    <col min="93" max="93" width="16.5703125" style="18" customWidth="1"/>
    <col min="94" max="95" width="11.85546875" style="18" customWidth="1"/>
    <col min="96" max="96" width="23.28515625" style="18" customWidth="1"/>
    <col min="97" max="97" width="22.28515625" style="18" customWidth="1"/>
    <col min="98" max="98" width="26.28515625" style="18" customWidth="1"/>
    <col min="99" max="99" width="16.140625" style="18" customWidth="1"/>
    <col min="100" max="100" width="11.85546875" style="18" customWidth="1"/>
    <col min="101" max="101" width="19.140625" style="18" customWidth="1"/>
    <col min="102" max="102" width="21" style="18" customWidth="1"/>
    <col min="103" max="103" width="16.7109375" style="18" customWidth="1"/>
    <col min="104" max="104" width="19.5703125" style="18" customWidth="1"/>
    <col min="105" max="105" width="11.85546875" style="18" customWidth="1"/>
    <col min="106" max="106" width="20.42578125" style="18" customWidth="1"/>
    <col min="107" max="107" width="16.7109375" style="18" customWidth="1"/>
    <col min="108" max="128" width="19" style="18" customWidth="1"/>
    <col min="129" max="133" width="11.85546875" style="18" customWidth="1"/>
    <col min="134" max="134" width="18.7109375" style="18" customWidth="1"/>
    <col min="135" max="16384" width="9.140625" style="18"/>
  </cols>
  <sheetData>
    <row r="1" spans="2:52" ht="26.25" thickBot="1">
      <c r="J1" s="37"/>
      <c r="K1" s="37"/>
      <c r="L1" s="37"/>
      <c r="M1" s="37"/>
      <c r="N1" s="37"/>
      <c r="O1" s="37"/>
      <c r="P1" s="37"/>
      <c r="Q1" s="48"/>
      <c r="R1" s="37"/>
      <c r="S1" s="37"/>
      <c r="T1" s="37"/>
      <c r="U1" s="37"/>
      <c r="V1" s="48"/>
    </row>
    <row r="2" spans="2:52" ht="46.5" thickTop="1" thickBot="1">
      <c r="C2" s="1601" t="s">
        <v>1792</v>
      </c>
      <c r="D2" s="1602"/>
      <c r="E2" s="1602"/>
      <c r="F2" s="1602"/>
      <c r="G2" s="1602"/>
      <c r="H2" s="1602"/>
      <c r="I2" s="1603"/>
      <c r="J2" s="34"/>
      <c r="K2" s="34"/>
    </row>
    <row r="3" spans="2:52" ht="23.25" thickTop="1">
      <c r="C3" s="34"/>
      <c r="D3" s="34"/>
      <c r="E3" s="34"/>
      <c r="F3" s="34"/>
      <c r="G3" s="34"/>
      <c r="H3" s="34"/>
      <c r="I3" s="70"/>
      <c r="J3" s="50"/>
      <c r="K3" s="50"/>
      <c r="L3" s="50"/>
      <c r="M3" s="50"/>
      <c r="N3" s="50"/>
      <c r="O3" s="50"/>
      <c r="P3" s="50"/>
      <c r="Q3" s="51"/>
      <c r="R3" s="50"/>
      <c r="S3" s="50"/>
      <c r="T3" s="50"/>
      <c r="U3" s="50"/>
      <c r="V3" s="51"/>
    </row>
    <row r="4" spans="2:52">
      <c r="C4" s="47"/>
      <c r="D4" s="47"/>
      <c r="E4" s="47"/>
      <c r="F4" s="47"/>
      <c r="G4" s="47"/>
      <c r="H4" s="47"/>
      <c r="I4" s="70"/>
      <c r="J4" s="50"/>
      <c r="K4" s="50"/>
      <c r="L4" s="50"/>
      <c r="M4" s="50"/>
      <c r="N4" s="50"/>
      <c r="O4" s="50"/>
      <c r="P4" s="50"/>
      <c r="Q4" s="51"/>
      <c r="R4" s="50"/>
      <c r="S4" s="50"/>
      <c r="T4" s="50"/>
      <c r="U4" s="50"/>
      <c r="V4" s="51"/>
      <c r="W4" s="50"/>
      <c r="X4" s="50"/>
      <c r="Y4" s="50"/>
      <c r="Z4" s="50"/>
      <c r="AA4" s="51"/>
    </row>
    <row r="5" spans="2:52" ht="30.75">
      <c r="C5" s="1604" t="s">
        <v>2036</v>
      </c>
      <c r="D5" s="1604"/>
      <c r="E5" s="1604"/>
      <c r="F5" s="47"/>
      <c r="G5" s="47"/>
      <c r="H5" s="47"/>
      <c r="I5" s="70"/>
      <c r="J5" s="50"/>
      <c r="K5" s="50"/>
      <c r="L5" s="50"/>
      <c r="M5" s="52"/>
      <c r="N5" s="50"/>
      <c r="O5" s="50"/>
      <c r="P5" s="50"/>
      <c r="Q5" s="51"/>
      <c r="R5" s="50"/>
      <c r="S5" s="50"/>
      <c r="T5" s="50"/>
      <c r="U5" s="50"/>
      <c r="V5" s="51"/>
      <c r="W5" s="50"/>
      <c r="X5" s="50"/>
      <c r="Y5" s="50"/>
      <c r="Z5" s="50"/>
      <c r="AA5" s="51"/>
      <c r="AX5" s="53"/>
    </row>
    <row r="6" spans="2:52">
      <c r="C6" s="54"/>
      <c r="D6" s="54"/>
      <c r="E6" s="54"/>
      <c r="F6" s="47"/>
      <c r="G6" s="47"/>
      <c r="H6" s="47"/>
      <c r="I6" s="70"/>
      <c r="J6" s="50"/>
      <c r="K6" s="50"/>
      <c r="L6" s="50"/>
      <c r="M6" s="50"/>
      <c r="N6" s="50"/>
      <c r="O6" s="50"/>
      <c r="P6" s="50"/>
      <c r="Q6" s="51"/>
      <c r="R6" s="50"/>
      <c r="S6" s="50"/>
      <c r="T6" s="50"/>
      <c r="U6" s="50"/>
      <c r="V6" s="51"/>
      <c r="W6" s="50"/>
      <c r="X6" s="50"/>
      <c r="Y6" s="50"/>
      <c r="Z6" s="50"/>
      <c r="AA6" s="51"/>
      <c r="AL6" s="81"/>
      <c r="AM6" s="81"/>
      <c r="AN6" s="81"/>
      <c r="AO6" s="81"/>
      <c r="AP6" s="81"/>
      <c r="AQ6" s="1609"/>
      <c r="AR6" s="1609"/>
      <c r="AS6" s="1609"/>
      <c r="AT6" s="1609"/>
      <c r="AU6" s="1609"/>
      <c r="AV6" s="55"/>
      <c r="AW6" s="55"/>
      <c r="AX6" s="55"/>
      <c r="AY6" s="55"/>
      <c r="AZ6" s="55"/>
    </row>
    <row r="7" spans="2:52" s="398" customFormat="1" ht="67.150000000000006" customHeight="1">
      <c r="C7" s="1605" t="s">
        <v>2032</v>
      </c>
      <c r="D7" s="1605"/>
      <c r="E7" s="1606" t="s">
        <v>2034</v>
      </c>
      <c r="F7" s="1606"/>
      <c r="G7" s="1606"/>
      <c r="H7" s="1606"/>
      <c r="I7" s="1606" t="s">
        <v>2078</v>
      </c>
      <c r="J7" s="1606"/>
      <c r="K7" s="1606"/>
      <c r="L7" s="1606"/>
      <c r="M7" s="1606" t="s">
        <v>1755</v>
      </c>
      <c r="N7" s="1606"/>
      <c r="O7" s="1606"/>
      <c r="P7" s="1606"/>
      <c r="Q7" s="1606"/>
      <c r="R7" s="1606" t="s">
        <v>1756</v>
      </c>
      <c r="S7" s="1606"/>
      <c r="T7" s="1606"/>
      <c r="U7" s="1606"/>
      <c r="V7" s="1606"/>
      <c r="W7" s="1606" t="s">
        <v>1757</v>
      </c>
      <c r="X7" s="1606"/>
      <c r="Y7" s="1606"/>
      <c r="Z7" s="1606"/>
      <c r="AA7" s="1606"/>
      <c r="AB7" s="1606" t="s">
        <v>1758</v>
      </c>
      <c r="AC7" s="1606"/>
      <c r="AD7" s="1606"/>
      <c r="AE7" s="1606"/>
      <c r="AF7" s="1606"/>
      <c r="AG7" s="1606" t="s">
        <v>1759</v>
      </c>
      <c r="AH7" s="1606"/>
      <c r="AI7" s="1606"/>
      <c r="AJ7" s="1606"/>
      <c r="AK7" s="1606"/>
      <c r="AL7" s="1611" t="s">
        <v>1760</v>
      </c>
      <c r="AM7" s="1611"/>
      <c r="AN7" s="1611"/>
      <c r="AO7" s="1611"/>
      <c r="AP7" s="1611"/>
      <c r="AQ7" s="1606" t="s">
        <v>1761</v>
      </c>
      <c r="AR7" s="1606"/>
      <c r="AS7" s="1606"/>
      <c r="AT7" s="1606"/>
      <c r="AU7" s="1606"/>
      <c r="AV7" s="1606" t="s">
        <v>1762</v>
      </c>
      <c r="AW7" s="1606"/>
      <c r="AX7" s="1606"/>
      <c r="AY7" s="1606"/>
      <c r="AZ7" s="1606"/>
    </row>
    <row r="8" spans="2:52" s="406" customFormat="1" ht="32.25" customHeight="1">
      <c r="B8" s="399"/>
      <c r="C8" s="400" t="s">
        <v>2033</v>
      </c>
      <c r="D8" s="401"/>
      <c r="E8" s="402" t="s">
        <v>1993</v>
      </c>
      <c r="F8" s="402" t="s">
        <v>1994</v>
      </c>
      <c r="G8" s="402" t="s">
        <v>1995</v>
      </c>
      <c r="H8" s="402" t="s">
        <v>1996</v>
      </c>
      <c r="I8" s="402" t="s">
        <v>1993</v>
      </c>
      <c r="J8" s="402" t="s">
        <v>1994</v>
      </c>
      <c r="K8" s="402" t="s">
        <v>1995</v>
      </c>
      <c r="L8" s="402" t="s">
        <v>1996</v>
      </c>
      <c r="M8" s="402" t="s">
        <v>1993</v>
      </c>
      <c r="N8" s="402" t="s">
        <v>1994</v>
      </c>
      <c r="O8" s="402" t="s">
        <v>1995</v>
      </c>
      <c r="P8" s="402" t="s">
        <v>1996</v>
      </c>
      <c r="Q8" s="403" t="s">
        <v>2023</v>
      </c>
      <c r="R8" s="402" t="s">
        <v>1993</v>
      </c>
      <c r="S8" s="402" t="s">
        <v>1994</v>
      </c>
      <c r="T8" s="402" t="s">
        <v>1995</v>
      </c>
      <c r="U8" s="402" t="s">
        <v>1996</v>
      </c>
      <c r="V8" s="403" t="s">
        <v>2023</v>
      </c>
      <c r="W8" s="402" t="s">
        <v>1993</v>
      </c>
      <c r="X8" s="402" t="s">
        <v>1994</v>
      </c>
      <c r="Y8" s="402" t="s">
        <v>1995</v>
      </c>
      <c r="Z8" s="402" t="s">
        <v>1996</v>
      </c>
      <c r="AA8" s="403" t="s">
        <v>2023</v>
      </c>
      <c r="AB8" s="402" t="s">
        <v>1993</v>
      </c>
      <c r="AC8" s="402" t="s">
        <v>1994</v>
      </c>
      <c r="AD8" s="402" t="s">
        <v>1995</v>
      </c>
      <c r="AE8" s="402" t="s">
        <v>1996</v>
      </c>
      <c r="AF8" s="403" t="s">
        <v>2023</v>
      </c>
      <c r="AG8" s="403" t="s">
        <v>1993</v>
      </c>
      <c r="AH8" s="403" t="s">
        <v>1994</v>
      </c>
      <c r="AI8" s="403" t="s">
        <v>1995</v>
      </c>
      <c r="AJ8" s="403" t="s">
        <v>1996</v>
      </c>
      <c r="AK8" s="401" t="s">
        <v>2023</v>
      </c>
      <c r="AL8" s="404" t="s">
        <v>1993</v>
      </c>
      <c r="AM8" s="404" t="s">
        <v>1994</v>
      </c>
      <c r="AN8" s="404" t="s">
        <v>1995</v>
      </c>
      <c r="AO8" s="404" t="s">
        <v>1996</v>
      </c>
      <c r="AP8" s="405" t="s">
        <v>2023</v>
      </c>
      <c r="AQ8" s="402" t="s">
        <v>1993</v>
      </c>
      <c r="AR8" s="402" t="s">
        <v>1994</v>
      </c>
      <c r="AS8" s="402" t="s">
        <v>1995</v>
      </c>
      <c r="AT8" s="402" t="s">
        <v>1996</v>
      </c>
      <c r="AU8" s="403" t="s">
        <v>2023</v>
      </c>
      <c r="AV8" s="402" t="s">
        <v>1993</v>
      </c>
      <c r="AW8" s="402" t="s">
        <v>1994</v>
      </c>
      <c r="AX8" s="402" t="s">
        <v>1995</v>
      </c>
      <c r="AY8" s="402" t="s">
        <v>1996</v>
      </c>
      <c r="AZ8" s="403" t="s">
        <v>2023</v>
      </c>
    </row>
    <row r="9" spans="2:52" s="406" customFormat="1" ht="22.5">
      <c r="B9" s="399"/>
      <c r="C9" s="1599" t="s">
        <v>2035</v>
      </c>
      <c r="D9" s="454">
        <f ca="1">ФОП!A5</f>
        <v>4</v>
      </c>
      <c r="E9" s="1234">
        <v>0.215</v>
      </c>
      <c r="F9" s="1234">
        <f>E9</f>
        <v>0.215</v>
      </c>
      <c r="G9" s="1234">
        <f>F9</f>
        <v>0.215</v>
      </c>
      <c r="H9" s="1234">
        <f>G9</f>
        <v>0.215</v>
      </c>
      <c r="I9" s="407">
        <f ca="1">ФОП!A5</f>
        <v>4</v>
      </c>
      <c r="J9" s="408">
        <f>I9</f>
        <v>4</v>
      </c>
      <c r="K9" s="408">
        <f>J9</f>
        <v>4</v>
      </c>
      <c r="L9" s="408">
        <f>K9</f>
        <v>4</v>
      </c>
      <c r="M9" s="409">
        <f ca="1">ФОП!O5</f>
        <v>199819.63468875003</v>
      </c>
      <c r="N9" s="409">
        <f ca="1">ФОП!P5</f>
        <v>199819.63468875003</v>
      </c>
      <c r="O9" s="409">
        <f ca="1">ФОП!Q5</f>
        <v>199819.63468875003</v>
      </c>
      <c r="P9" s="409">
        <f ca="1">ФОП!R5</f>
        <v>199819.63468875003</v>
      </c>
      <c r="Q9" s="410">
        <f ca="1">SUM(M9:P9)</f>
        <v>799278.5387550001</v>
      </c>
      <c r="R9" s="392">
        <f ca="1">ФОП!O12</f>
        <v>0</v>
      </c>
      <c r="S9" s="392">
        <f ca="1">ФОП!P12</f>
        <v>0</v>
      </c>
      <c r="T9" s="392">
        <f ca="1">ФОП!Q12</f>
        <v>0</v>
      </c>
      <c r="U9" s="392">
        <f ca="1">ФОП!R12</f>
        <v>0</v>
      </c>
      <c r="V9" s="410">
        <f ca="1">SUM(R9:U9)</f>
        <v>0</v>
      </c>
      <c r="W9" s="392">
        <f ca="1">ФОП!O19</f>
        <v>13853.748584375</v>
      </c>
      <c r="X9" s="392">
        <f ca="1">ФОП!P19</f>
        <v>13853.748584375</v>
      </c>
      <c r="Y9" s="392">
        <f ca="1">ФОП!Q19</f>
        <v>13853.748584375</v>
      </c>
      <c r="Z9" s="392">
        <f ca="1">ФОП!R19</f>
        <v>13853.748584375</v>
      </c>
      <c r="AA9" s="410">
        <f ca="1">SUM(W9:Z9)</f>
        <v>55414.9943375</v>
      </c>
      <c r="AB9" s="392">
        <f ca="1">ФОП!O26</f>
        <v>21110.396831249989</v>
      </c>
      <c r="AC9" s="392">
        <f ca="1">ФОП!P26</f>
        <v>21110.396831249989</v>
      </c>
      <c r="AD9" s="392">
        <f ca="1">ФОП!Q26</f>
        <v>21110.396831249989</v>
      </c>
      <c r="AE9" s="392">
        <f ca="1">ФОП!R26</f>
        <v>21110.396831249989</v>
      </c>
      <c r="AF9" s="410">
        <f ca="1">SUM(AB9:AE9)</f>
        <v>84441.587324999957</v>
      </c>
      <c r="AG9" s="411">
        <f ca="1">M9+R9+W9+AB9</f>
        <v>234783.78010437501</v>
      </c>
      <c r="AH9" s="411">
        <f ca="1">N9+S9+X9+AC9</f>
        <v>234783.78010437501</v>
      </c>
      <c r="AI9" s="411">
        <f ca="1">O9+T9+Y9+AD9</f>
        <v>234783.78010437501</v>
      </c>
      <c r="AJ9" s="411">
        <f ca="1">P9+U9+Z9+AE9</f>
        <v>234783.78010437501</v>
      </c>
      <c r="AK9" s="410">
        <f ca="1">Q9+V9+AA9+AF9</f>
        <v>939135.12041750003</v>
      </c>
      <c r="AL9" s="412"/>
      <c r="AM9" s="412"/>
      <c r="AN9" s="412"/>
      <c r="AO9" s="412"/>
      <c r="AP9" s="413">
        <f>SUM(AL9:AO9)</f>
        <v>0</v>
      </c>
      <c r="AQ9" s="411">
        <f>AG9*E9/100%</f>
        <v>50478.512722440624</v>
      </c>
      <c r="AR9" s="411">
        <f>AH9*F9/100%</f>
        <v>50478.512722440624</v>
      </c>
      <c r="AS9" s="411">
        <f>AI9*G9/100%</f>
        <v>50478.512722440624</v>
      </c>
      <c r="AT9" s="411">
        <f>AJ9*H9/100%</f>
        <v>50478.512722440624</v>
      </c>
      <c r="AU9" s="410">
        <f>SUM(AQ9:AT9)</f>
        <v>201914.0508897625</v>
      </c>
      <c r="AV9" s="411">
        <f>AG9*(18%+1.5%)/100%</f>
        <v>45782.837120353128</v>
      </c>
      <c r="AW9" s="411">
        <f>AH9*(18%+1.5%)/100%</f>
        <v>45782.837120353128</v>
      </c>
      <c r="AX9" s="411">
        <f>AI9*(18%+1.5%)/100%</f>
        <v>45782.837120353128</v>
      </c>
      <c r="AY9" s="411">
        <f>AJ9*(18%+1.5%)/100%</f>
        <v>45782.837120353128</v>
      </c>
      <c r="AZ9" s="410">
        <f>SUM(AV9:AY9)</f>
        <v>183131.34848141251</v>
      </c>
    </row>
    <row r="10" spans="2:52" s="414" customFormat="1" ht="21.75">
      <c r="C10" s="1599"/>
      <c r="D10" s="456"/>
      <c r="E10" s="410" t="s">
        <v>1998</v>
      </c>
      <c r="F10" s="410" t="s">
        <v>1998</v>
      </c>
      <c r="G10" s="410" t="s">
        <v>1998</v>
      </c>
      <c r="H10" s="410" t="s">
        <v>1998</v>
      </c>
      <c r="I10" s="415">
        <f t="shared" ref="I10:AZ10" si="0">SUM(I9:I9)</f>
        <v>4</v>
      </c>
      <c r="J10" s="415">
        <f t="shared" si="0"/>
        <v>4</v>
      </c>
      <c r="K10" s="415">
        <f t="shared" si="0"/>
        <v>4</v>
      </c>
      <c r="L10" s="415">
        <f t="shared" si="0"/>
        <v>4</v>
      </c>
      <c r="M10" s="410">
        <f t="shared" si="0"/>
        <v>199819.63468875003</v>
      </c>
      <c r="N10" s="410">
        <f t="shared" si="0"/>
        <v>199819.63468875003</v>
      </c>
      <c r="O10" s="410">
        <f t="shared" si="0"/>
        <v>199819.63468875003</v>
      </c>
      <c r="P10" s="410">
        <f t="shared" si="0"/>
        <v>199819.63468875003</v>
      </c>
      <c r="Q10" s="410">
        <f t="shared" si="0"/>
        <v>799278.5387550001</v>
      </c>
      <c r="R10" s="410">
        <f t="shared" si="0"/>
        <v>0</v>
      </c>
      <c r="S10" s="410">
        <f t="shared" si="0"/>
        <v>0</v>
      </c>
      <c r="T10" s="410">
        <f t="shared" si="0"/>
        <v>0</v>
      </c>
      <c r="U10" s="410">
        <f t="shared" si="0"/>
        <v>0</v>
      </c>
      <c r="V10" s="410">
        <f t="shared" si="0"/>
        <v>0</v>
      </c>
      <c r="W10" s="410">
        <f t="shared" si="0"/>
        <v>13853.748584375</v>
      </c>
      <c r="X10" s="410">
        <f t="shared" si="0"/>
        <v>13853.748584375</v>
      </c>
      <c r="Y10" s="410">
        <f t="shared" si="0"/>
        <v>13853.748584375</v>
      </c>
      <c r="Z10" s="410">
        <f t="shared" si="0"/>
        <v>13853.748584375</v>
      </c>
      <c r="AA10" s="410">
        <f t="shared" si="0"/>
        <v>55414.9943375</v>
      </c>
      <c r="AB10" s="410">
        <f t="shared" si="0"/>
        <v>21110.396831249989</v>
      </c>
      <c r="AC10" s="410">
        <f t="shared" si="0"/>
        <v>21110.396831249989</v>
      </c>
      <c r="AD10" s="410">
        <f t="shared" si="0"/>
        <v>21110.396831249989</v>
      </c>
      <c r="AE10" s="410">
        <f t="shared" si="0"/>
        <v>21110.396831249989</v>
      </c>
      <c r="AF10" s="410">
        <f t="shared" si="0"/>
        <v>84441.587324999957</v>
      </c>
      <c r="AG10" s="410">
        <f t="shared" si="0"/>
        <v>234783.78010437501</v>
      </c>
      <c r="AH10" s="410">
        <f t="shared" si="0"/>
        <v>234783.78010437501</v>
      </c>
      <c r="AI10" s="410">
        <f t="shared" si="0"/>
        <v>234783.78010437501</v>
      </c>
      <c r="AJ10" s="410">
        <f t="shared" si="0"/>
        <v>234783.78010437501</v>
      </c>
      <c r="AK10" s="410">
        <f t="shared" si="0"/>
        <v>939135.12041750003</v>
      </c>
      <c r="AL10" s="413">
        <f t="shared" si="0"/>
        <v>0</v>
      </c>
      <c r="AM10" s="413">
        <f t="shared" si="0"/>
        <v>0</v>
      </c>
      <c r="AN10" s="413">
        <f t="shared" si="0"/>
        <v>0</v>
      </c>
      <c r="AO10" s="413">
        <f t="shared" si="0"/>
        <v>0</v>
      </c>
      <c r="AP10" s="413">
        <f t="shared" ref="AP10:AP21" si="1">SUM(AL10:AO10)</f>
        <v>0</v>
      </c>
      <c r="AQ10" s="410">
        <f t="shared" si="0"/>
        <v>50478.512722440624</v>
      </c>
      <c r="AR10" s="410">
        <f t="shared" si="0"/>
        <v>50478.512722440624</v>
      </c>
      <c r="AS10" s="410">
        <f t="shared" si="0"/>
        <v>50478.512722440624</v>
      </c>
      <c r="AT10" s="410">
        <f t="shared" si="0"/>
        <v>50478.512722440624</v>
      </c>
      <c r="AU10" s="410">
        <f t="shared" ref="AU10:AU21" si="2">SUM(AQ10:AT10)</f>
        <v>201914.0508897625</v>
      </c>
      <c r="AV10" s="410">
        <f t="shared" si="0"/>
        <v>45782.837120353128</v>
      </c>
      <c r="AW10" s="410">
        <f t="shared" si="0"/>
        <v>45782.837120353128</v>
      </c>
      <c r="AX10" s="410">
        <f t="shared" si="0"/>
        <v>45782.837120353128</v>
      </c>
      <c r="AY10" s="410">
        <f t="shared" si="0"/>
        <v>45782.837120353128</v>
      </c>
      <c r="AZ10" s="410">
        <f t="shared" si="0"/>
        <v>183131.34848141251</v>
      </c>
    </row>
    <row r="11" spans="2:52" s="406" customFormat="1" ht="22.5">
      <c r="B11" s="399"/>
      <c r="C11" s="1599" t="s">
        <v>1790</v>
      </c>
      <c r="D11" s="454">
        <f ca="1">ФОП!A6</f>
        <v>13</v>
      </c>
      <c r="E11" s="1234">
        <f>E9</f>
        <v>0.215</v>
      </c>
      <c r="F11" s="1234">
        <f>F9</f>
        <v>0.215</v>
      </c>
      <c r="G11" s="1234">
        <f>G9</f>
        <v>0.215</v>
      </c>
      <c r="H11" s="1234">
        <f>H9</f>
        <v>0.215</v>
      </c>
      <c r="I11" s="407">
        <f ca="1">ФОП!A6</f>
        <v>13</v>
      </c>
      <c r="J11" s="408">
        <f>I11</f>
        <v>13</v>
      </c>
      <c r="K11" s="408">
        <f>J11</f>
        <v>13</v>
      </c>
      <c r="L11" s="408">
        <f>K11</f>
        <v>13</v>
      </c>
      <c r="M11" s="409">
        <f ca="1">ФОП!O6</f>
        <v>408260.64622500003</v>
      </c>
      <c r="N11" s="409">
        <f ca="1">ФОП!P6</f>
        <v>408260.64622500003</v>
      </c>
      <c r="O11" s="409">
        <f ca="1">ФОП!Q6</f>
        <v>408260.64622500003</v>
      </c>
      <c r="P11" s="409">
        <f ca="1">ФОП!R6</f>
        <v>408260.64622500003</v>
      </c>
      <c r="Q11" s="410">
        <f ca="1">SUM(M11:P11)</f>
        <v>1633042.5849000001</v>
      </c>
      <c r="R11" s="416">
        <f ca="1">ФОП!O13</f>
        <v>0</v>
      </c>
      <c r="S11" s="416">
        <f ca="1">ФОП!P13</f>
        <v>0</v>
      </c>
      <c r="T11" s="416">
        <f ca="1">ФОП!Q13</f>
        <v>0</v>
      </c>
      <c r="U11" s="416">
        <f ca="1">ФОП!R13</f>
        <v>0</v>
      </c>
      <c r="V11" s="410">
        <f ca="1">SUM(R11:U11)</f>
        <v>0</v>
      </c>
      <c r="W11" s="409">
        <f ca="1">ФОП!O20</f>
        <v>27524.377343749999</v>
      </c>
      <c r="X11" s="409">
        <f ca="1">ФОП!P20</f>
        <v>27524.377343749999</v>
      </c>
      <c r="Y11" s="409">
        <f ca="1">ФОП!Q20</f>
        <v>27524.377343749999</v>
      </c>
      <c r="Z11" s="409">
        <f ca="1">ФОП!R20</f>
        <v>27524.377343749999</v>
      </c>
      <c r="AA11" s="410">
        <f ca="1">SUM(W11:Z11)</f>
        <v>110097.50937499999</v>
      </c>
      <c r="AB11" s="392">
        <f ca="1">ФОП!O27</f>
        <v>184818.5649</v>
      </c>
      <c r="AC11" s="392">
        <f ca="1">ФОП!P27</f>
        <v>184818.5649</v>
      </c>
      <c r="AD11" s="392">
        <f ca="1">ФОП!Q27</f>
        <v>184818.5649</v>
      </c>
      <c r="AE11" s="392">
        <f ca="1">ФОП!R27</f>
        <v>184818.5649</v>
      </c>
      <c r="AF11" s="410">
        <f ca="1">SUM(AB11:AE11)</f>
        <v>739274.25959999999</v>
      </c>
      <c r="AG11" s="411">
        <f ca="1">M11+R11+W11+AB11</f>
        <v>620603.58846875001</v>
      </c>
      <c r="AH11" s="411">
        <f ca="1">N11+S11+X11+AC11</f>
        <v>620603.58846875001</v>
      </c>
      <c r="AI11" s="411">
        <f ca="1">O11+T11+Y11+AD11</f>
        <v>620603.58846875001</v>
      </c>
      <c r="AJ11" s="411">
        <f ca="1">P11+U11+Z11+AE11</f>
        <v>620603.58846875001</v>
      </c>
      <c r="AK11" s="410">
        <f ca="1">Q11+V11+AA11+AF11</f>
        <v>2482414.353875</v>
      </c>
      <c r="AL11" s="412"/>
      <c r="AM11" s="412"/>
      <c r="AN11" s="412"/>
      <c r="AO11" s="412"/>
      <c r="AP11" s="413">
        <f t="shared" si="1"/>
        <v>0</v>
      </c>
      <c r="AQ11" s="411">
        <f>AG11*E11/100%</f>
        <v>133429.77152078124</v>
      </c>
      <c r="AR11" s="411">
        <f>AH11*F11/100%</f>
        <v>133429.77152078124</v>
      </c>
      <c r="AS11" s="411">
        <f>AI11*G11/100%</f>
        <v>133429.77152078124</v>
      </c>
      <c r="AT11" s="411">
        <f>AJ11*H11/100%</f>
        <v>133429.77152078124</v>
      </c>
      <c r="AU11" s="410">
        <f t="shared" si="2"/>
        <v>533719.08608312497</v>
      </c>
      <c r="AV11" s="411">
        <f>AG11*(18%+1.5%)/100%</f>
        <v>121017.69975140625</v>
      </c>
      <c r="AW11" s="411">
        <f>AH11*(18%+1.5%)/100%</f>
        <v>121017.69975140625</v>
      </c>
      <c r="AX11" s="411">
        <f>AI11*(18%+1.5%)/100%</f>
        <v>121017.69975140625</v>
      </c>
      <c r="AY11" s="411">
        <f>AJ11*(18%+1.5%)/100%</f>
        <v>121017.69975140625</v>
      </c>
      <c r="AZ11" s="410">
        <f>SUM(AV11:AY11)</f>
        <v>484070.79900562501</v>
      </c>
    </row>
    <row r="12" spans="2:52" s="414" customFormat="1" ht="21.75">
      <c r="C12" s="1599"/>
      <c r="D12" s="456"/>
      <c r="E12" s="410" t="s">
        <v>1998</v>
      </c>
      <c r="F12" s="410" t="s">
        <v>1998</v>
      </c>
      <c r="G12" s="410" t="s">
        <v>1998</v>
      </c>
      <c r="H12" s="410" t="s">
        <v>1998</v>
      </c>
      <c r="I12" s="415">
        <f t="shared" ref="I12:AF12" si="3">SUM(I11:I11)</f>
        <v>13</v>
      </c>
      <c r="J12" s="415">
        <f t="shared" si="3"/>
        <v>13</v>
      </c>
      <c r="K12" s="415">
        <f t="shared" si="3"/>
        <v>13</v>
      </c>
      <c r="L12" s="415">
        <f t="shared" si="3"/>
        <v>13</v>
      </c>
      <c r="M12" s="410">
        <f t="shared" si="3"/>
        <v>408260.64622500003</v>
      </c>
      <c r="N12" s="410">
        <f t="shared" si="3"/>
        <v>408260.64622500003</v>
      </c>
      <c r="O12" s="410">
        <f t="shared" si="3"/>
        <v>408260.64622500003</v>
      </c>
      <c r="P12" s="410">
        <f t="shared" si="3"/>
        <v>408260.64622500003</v>
      </c>
      <c r="Q12" s="410">
        <f t="shared" si="3"/>
        <v>1633042.5849000001</v>
      </c>
      <c r="R12" s="410">
        <f t="shared" si="3"/>
        <v>0</v>
      </c>
      <c r="S12" s="410">
        <f t="shared" si="3"/>
        <v>0</v>
      </c>
      <c r="T12" s="410">
        <f t="shared" si="3"/>
        <v>0</v>
      </c>
      <c r="U12" s="410">
        <f t="shared" si="3"/>
        <v>0</v>
      </c>
      <c r="V12" s="410">
        <f t="shared" si="3"/>
        <v>0</v>
      </c>
      <c r="W12" s="410">
        <f t="shared" si="3"/>
        <v>27524.377343749999</v>
      </c>
      <c r="X12" s="410">
        <f t="shared" si="3"/>
        <v>27524.377343749999</v>
      </c>
      <c r="Y12" s="410">
        <f t="shared" si="3"/>
        <v>27524.377343749999</v>
      </c>
      <c r="Z12" s="410">
        <f t="shared" si="3"/>
        <v>27524.377343749999</v>
      </c>
      <c r="AA12" s="410">
        <f t="shared" si="3"/>
        <v>110097.50937499999</v>
      </c>
      <c r="AB12" s="410">
        <f t="shared" si="3"/>
        <v>184818.5649</v>
      </c>
      <c r="AC12" s="410">
        <f t="shared" si="3"/>
        <v>184818.5649</v>
      </c>
      <c r="AD12" s="410">
        <f t="shared" si="3"/>
        <v>184818.5649</v>
      </c>
      <c r="AE12" s="410">
        <f t="shared" si="3"/>
        <v>184818.5649</v>
      </c>
      <c r="AF12" s="410">
        <f t="shared" si="3"/>
        <v>739274.25959999999</v>
      </c>
      <c r="AG12" s="410">
        <f ca="1">SUM(AG11)</f>
        <v>620603.58846875001</v>
      </c>
      <c r="AH12" s="410">
        <f ca="1">SUM(AH11)</f>
        <v>620603.58846875001</v>
      </c>
      <c r="AI12" s="410">
        <f ca="1">SUM(AI11)</f>
        <v>620603.58846875001</v>
      </c>
      <c r="AJ12" s="410">
        <f ca="1">SUM(AJ11)</f>
        <v>620603.58846875001</v>
      </c>
      <c r="AK12" s="410">
        <f ca="1">SUM(AK11)</f>
        <v>2482414.353875</v>
      </c>
      <c r="AL12" s="413">
        <f>SUM(AL11:AL11)</f>
        <v>0</v>
      </c>
      <c r="AM12" s="413">
        <f>SUM(AM11:AM11)</f>
        <v>0</v>
      </c>
      <c r="AN12" s="413">
        <f>SUM(AN11:AN11)</f>
        <v>0</v>
      </c>
      <c r="AO12" s="413">
        <f>SUM(AO11:AO11)</f>
        <v>0</v>
      </c>
      <c r="AP12" s="413">
        <f t="shared" si="1"/>
        <v>0</v>
      </c>
      <c r="AQ12" s="410">
        <f t="shared" ref="AQ12:AZ12" si="4">SUM(AQ11:AQ11)</f>
        <v>133429.77152078124</v>
      </c>
      <c r="AR12" s="410">
        <f t="shared" si="4"/>
        <v>133429.77152078124</v>
      </c>
      <c r="AS12" s="410">
        <f t="shared" si="4"/>
        <v>133429.77152078124</v>
      </c>
      <c r="AT12" s="410">
        <f t="shared" si="4"/>
        <v>133429.77152078124</v>
      </c>
      <c r="AU12" s="410">
        <f t="shared" si="2"/>
        <v>533719.08608312497</v>
      </c>
      <c r="AV12" s="410">
        <f t="shared" si="4"/>
        <v>121017.69975140625</v>
      </c>
      <c r="AW12" s="410">
        <f t="shared" si="4"/>
        <v>121017.69975140625</v>
      </c>
      <c r="AX12" s="410">
        <f t="shared" si="4"/>
        <v>121017.69975140625</v>
      </c>
      <c r="AY12" s="410">
        <f t="shared" si="4"/>
        <v>121017.69975140625</v>
      </c>
      <c r="AZ12" s="410">
        <f t="shared" si="4"/>
        <v>484070.79900562501</v>
      </c>
    </row>
    <row r="13" spans="2:52" s="406" customFormat="1" ht="22.5">
      <c r="B13" s="399"/>
      <c r="C13" s="1599" t="s">
        <v>1904</v>
      </c>
      <c r="D13" s="457">
        <f ca="1">ФОП!A7</f>
        <v>40.75</v>
      </c>
      <c r="E13" s="1234">
        <f>E11</f>
        <v>0.215</v>
      </c>
      <c r="F13" s="1234">
        <f>F11</f>
        <v>0.215</v>
      </c>
      <c r="G13" s="1234">
        <f>G11</f>
        <v>0.215</v>
      </c>
      <c r="H13" s="1234">
        <f>H11</f>
        <v>0.215</v>
      </c>
      <c r="I13" s="407">
        <f ca="1">ФОП!A7</f>
        <v>40.75</v>
      </c>
      <c r="J13" s="408">
        <f>I13</f>
        <v>40.75</v>
      </c>
      <c r="K13" s="408">
        <f>J13</f>
        <v>40.75</v>
      </c>
      <c r="L13" s="408">
        <f>K13</f>
        <v>40.75</v>
      </c>
      <c r="M13" s="409">
        <f ca="1">ФОП!O7</f>
        <v>1032797.77125</v>
      </c>
      <c r="N13" s="409">
        <f ca="1">ФОП!P7</f>
        <v>1032797.77125</v>
      </c>
      <c r="O13" s="409">
        <f ca="1">ФОП!Q7</f>
        <v>1032797.77125</v>
      </c>
      <c r="P13" s="409">
        <f ca="1">ФОП!R7</f>
        <v>1032797.77125</v>
      </c>
      <c r="Q13" s="410">
        <f ca="1">SUM(M13:P13)</f>
        <v>4131191.085</v>
      </c>
      <c r="R13" s="416">
        <f ca="1">ФОП!O14</f>
        <v>0</v>
      </c>
      <c r="S13" s="416">
        <f ca="1">ФОП!P14</f>
        <v>0</v>
      </c>
      <c r="T13" s="416">
        <f ca="1">ФОП!Q14</f>
        <v>0</v>
      </c>
      <c r="U13" s="416">
        <f ca="1">ФОП!R14</f>
        <v>0</v>
      </c>
      <c r="V13" s="410">
        <f t="shared" ref="V13:V18" si="5">SUM(R13:U13)</f>
        <v>0</v>
      </c>
      <c r="W13" s="409">
        <f ca="1">ФОП!O21</f>
        <v>63351.65</v>
      </c>
      <c r="X13" s="409">
        <f ca="1">ФОП!P21</f>
        <v>63351.65</v>
      </c>
      <c r="Y13" s="409">
        <f ca="1">ФОП!Q21</f>
        <v>63351.65</v>
      </c>
      <c r="Z13" s="409">
        <f ca="1">ФОП!R21</f>
        <v>63351.65</v>
      </c>
      <c r="AA13" s="410">
        <f ca="1">SUM(W13:Z13)</f>
        <v>253406.6</v>
      </c>
      <c r="AB13" s="392">
        <f ca="1">ФОП!O28</f>
        <v>1412202.22875</v>
      </c>
      <c r="AC13" s="392">
        <f ca="1">ФОП!P28</f>
        <v>1412202.22875</v>
      </c>
      <c r="AD13" s="392">
        <f ca="1">ФОП!Q28</f>
        <v>1412202.22875</v>
      </c>
      <c r="AE13" s="392">
        <f ca="1">ФОП!R28</f>
        <v>1412202.22875</v>
      </c>
      <c r="AF13" s="410">
        <f ca="1">SUM(AB13:AE13)</f>
        <v>5648808.915</v>
      </c>
      <c r="AG13" s="411">
        <f ca="1">M13+R13+W13+AB13</f>
        <v>2508351.65</v>
      </c>
      <c r="AH13" s="411">
        <f ca="1">N13+S13+X13+AC13</f>
        <v>2508351.65</v>
      </c>
      <c r="AI13" s="411">
        <f ca="1">O13+T13+Y13+AD13</f>
        <v>2508351.65</v>
      </c>
      <c r="AJ13" s="411">
        <f ca="1">P13+U13+Z13+AE13</f>
        <v>2508351.65</v>
      </c>
      <c r="AK13" s="410">
        <f t="shared" ref="AK13:AK20" si="6">Q13+V13+AA13+AF13</f>
        <v>10033406.6</v>
      </c>
      <c r="AL13" s="412"/>
      <c r="AM13" s="412"/>
      <c r="AN13" s="412"/>
      <c r="AO13" s="412"/>
      <c r="AP13" s="413">
        <f t="shared" si="1"/>
        <v>0</v>
      </c>
      <c r="AQ13" s="411">
        <f>AG13*E13/100%</f>
        <v>539295.60474999994</v>
      </c>
      <c r="AR13" s="411">
        <f>AH13*F13/100%</f>
        <v>539295.60474999994</v>
      </c>
      <c r="AS13" s="411">
        <f>AI13*G13/100%</f>
        <v>539295.60474999994</v>
      </c>
      <c r="AT13" s="411">
        <f>AJ13*H13/100%</f>
        <v>539295.60474999994</v>
      </c>
      <c r="AU13" s="410">
        <f t="shared" si="2"/>
        <v>2157182.4189999998</v>
      </c>
      <c r="AV13" s="411">
        <f>AG13*(18%+1.5%)/100%</f>
        <v>489128.57175</v>
      </c>
      <c r="AW13" s="411">
        <f>AH13*(18%+1.5%)/100%</f>
        <v>489128.57175</v>
      </c>
      <c r="AX13" s="411">
        <f>AI13*(18%+1.5%)/100%</f>
        <v>489128.57175</v>
      </c>
      <c r="AY13" s="411">
        <f>AJ13*(18%+1.5%)/100%</f>
        <v>489128.57175</v>
      </c>
      <c r="AZ13" s="410">
        <f>SUM(AV13:AY13)</f>
        <v>1956514.287</v>
      </c>
    </row>
    <row r="14" spans="2:52" s="418" customFormat="1" ht="22.5">
      <c r="B14" s="414"/>
      <c r="C14" s="1599"/>
      <c r="D14" s="458"/>
      <c r="E14" s="410" t="s">
        <v>1998</v>
      </c>
      <c r="F14" s="410" t="s">
        <v>1998</v>
      </c>
      <c r="G14" s="410" t="s">
        <v>1998</v>
      </c>
      <c r="H14" s="410" t="s">
        <v>1998</v>
      </c>
      <c r="I14" s="415">
        <f t="shared" ref="I14:U14" si="7">SUM(I13:I13)</f>
        <v>40.75</v>
      </c>
      <c r="J14" s="415">
        <f t="shared" si="7"/>
        <v>40.75</v>
      </c>
      <c r="K14" s="415">
        <f t="shared" si="7"/>
        <v>40.75</v>
      </c>
      <c r="L14" s="415">
        <f t="shared" si="7"/>
        <v>40.75</v>
      </c>
      <c r="M14" s="410">
        <f t="shared" si="7"/>
        <v>1032797.77125</v>
      </c>
      <c r="N14" s="410">
        <f t="shared" si="7"/>
        <v>1032797.77125</v>
      </c>
      <c r="O14" s="410">
        <f t="shared" si="7"/>
        <v>1032797.77125</v>
      </c>
      <c r="P14" s="410">
        <f t="shared" si="7"/>
        <v>1032797.77125</v>
      </c>
      <c r="Q14" s="410">
        <f t="shared" si="7"/>
        <v>4131191.085</v>
      </c>
      <c r="R14" s="410">
        <f t="shared" si="7"/>
        <v>0</v>
      </c>
      <c r="S14" s="410">
        <f t="shared" si="7"/>
        <v>0</v>
      </c>
      <c r="T14" s="410">
        <f t="shared" si="7"/>
        <v>0</v>
      </c>
      <c r="U14" s="410">
        <f t="shared" si="7"/>
        <v>0</v>
      </c>
      <c r="V14" s="410">
        <f t="shared" si="5"/>
        <v>0</v>
      </c>
      <c r="W14" s="410">
        <f t="shared" ref="W14:AK14" si="8">SUM(W13:W13)</f>
        <v>63351.65</v>
      </c>
      <c r="X14" s="410">
        <f t="shared" si="8"/>
        <v>63351.65</v>
      </c>
      <c r="Y14" s="410">
        <f t="shared" si="8"/>
        <v>63351.65</v>
      </c>
      <c r="Z14" s="410">
        <f t="shared" si="8"/>
        <v>63351.65</v>
      </c>
      <c r="AA14" s="410">
        <f t="shared" si="8"/>
        <v>253406.6</v>
      </c>
      <c r="AB14" s="410">
        <f t="shared" si="8"/>
        <v>1412202.22875</v>
      </c>
      <c r="AC14" s="410">
        <f t="shared" si="8"/>
        <v>1412202.22875</v>
      </c>
      <c r="AD14" s="410">
        <f t="shared" si="8"/>
        <v>1412202.22875</v>
      </c>
      <c r="AE14" s="410">
        <f t="shared" si="8"/>
        <v>1412202.22875</v>
      </c>
      <c r="AF14" s="410">
        <f t="shared" si="8"/>
        <v>5648808.915</v>
      </c>
      <c r="AG14" s="410">
        <f t="shared" si="8"/>
        <v>2508351.65</v>
      </c>
      <c r="AH14" s="410">
        <f t="shared" si="8"/>
        <v>2508351.65</v>
      </c>
      <c r="AI14" s="410">
        <f t="shared" si="8"/>
        <v>2508351.65</v>
      </c>
      <c r="AJ14" s="410">
        <f t="shared" si="8"/>
        <v>2508351.65</v>
      </c>
      <c r="AK14" s="410">
        <f t="shared" si="8"/>
        <v>10033406.6</v>
      </c>
      <c r="AL14" s="413">
        <f>SUM(AL13:AL13)</f>
        <v>0</v>
      </c>
      <c r="AM14" s="413">
        <f>SUM(AM13:AM13)</f>
        <v>0</v>
      </c>
      <c r="AN14" s="413">
        <f>SUM(AN13:AN13)</f>
        <v>0</v>
      </c>
      <c r="AO14" s="413">
        <f>SUM(AO13:AO13)</f>
        <v>0</v>
      </c>
      <c r="AP14" s="413">
        <f t="shared" si="1"/>
        <v>0</v>
      </c>
      <c r="AQ14" s="410">
        <f t="shared" ref="AQ14:AZ14" si="9">SUM(AQ13:AQ13)</f>
        <v>539295.60474999994</v>
      </c>
      <c r="AR14" s="410">
        <f t="shared" si="9"/>
        <v>539295.60474999994</v>
      </c>
      <c r="AS14" s="410">
        <f t="shared" si="9"/>
        <v>539295.60474999994</v>
      </c>
      <c r="AT14" s="410">
        <f t="shared" si="9"/>
        <v>539295.60474999994</v>
      </c>
      <c r="AU14" s="410">
        <f t="shared" si="2"/>
        <v>2157182.4189999998</v>
      </c>
      <c r="AV14" s="410">
        <f t="shared" si="9"/>
        <v>489128.57175</v>
      </c>
      <c r="AW14" s="410">
        <f t="shared" si="9"/>
        <v>489128.57175</v>
      </c>
      <c r="AX14" s="410">
        <f t="shared" si="9"/>
        <v>489128.57175</v>
      </c>
      <c r="AY14" s="410">
        <f t="shared" si="9"/>
        <v>489128.57175</v>
      </c>
      <c r="AZ14" s="410">
        <f t="shared" si="9"/>
        <v>1956514.287</v>
      </c>
    </row>
    <row r="15" spans="2:52" s="418" customFormat="1" ht="22.5">
      <c r="B15" s="414"/>
      <c r="C15" s="1599" t="s">
        <v>1988</v>
      </c>
      <c r="D15" s="457">
        <f ca="1">ФОП!A8</f>
        <v>98</v>
      </c>
      <c r="E15" s="1234">
        <f>E13</f>
        <v>0.215</v>
      </c>
      <c r="F15" s="1234">
        <f>F13</f>
        <v>0.215</v>
      </c>
      <c r="G15" s="1234">
        <f>G13</f>
        <v>0.215</v>
      </c>
      <c r="H15" s="1234">
        <f>H13</f>
        <v>0.215</v>
      </c>
      <c r="I15" s="407">
        <f ca="1">ФОП!A8</f>
        <v>98</v>
      </c>
      <c r="J15" s="408">
        <f>I15</f>
        <v>98</v>
      </c>
      <c r="K15" s="408">
        <f>J15</f>
        <v>98</v>
      </c>
      <c r="L15" s="408">
        <f>K15</f>
        <v>98</v>
      </c>
      <c r="M15" s="409">
        <f ca="1">ФОП!O8</f>
        <v>2052127.7925000004</v>
      </c>
      <c r="N15" s="409">
        <f ca="1">ФОП!P8</f>
        <v>2052127.7925000004</v>
      </c>
      <c r="O15" s="409">
        <f ca="1">ФОП!Q8</f>
        <v>2052127.7925000004</v>
      </c>
      <c r="P15" s="409">
        <f ca="1">ФОП!R8</f>
        <v>2052127.7925000004</v>
      </c>
      <c r="Q15" s="410">
        <f ca="1">SUM(M15:P15)</f>
        <v>8208511.1700000018</v>
      </c>
      <c r="R15" s="416">
        <f ca="1">ФОП!O15</f>
        <v>0</v>
      </c>
      <c r="S15" s="416">
        <f ca="1">ФОП!P15</f>
        <v>0</v>
      </c>
      <c r="T15" s="416">
        <f ca="1">ФОП!Q15</f>
        <v>0</v>
      </c>
      <c r="U15" s="416">
        <f ca="1">ФОП!R15</f>
        <v>0</v>
      </c>
      <c r="V15" s="410">
        <f t="shared" si="5"/>
        <v>0</v>
      </c>
      <c r="W15" s="409">
        <f ca="1">ФОП!O22</f>
        <v>128782.76875</v>
      </c>
      <c r="X15" s="409">
        <f ca="1">ФОП!P22</f>
        <v>128782.76875</v>
      </c>
      <c r="Y15" s="409">
        <f ca="1">ФОП!Q22</f>
        <v>128782.76875</v>
      </c>
      <c r="Z15" s="409">
        <f ca="1">ФОП!R22</f>
        <v>128782.76875</v>
      </c>
      <c r="AA15" s="410">
        <f ca="1">SUM(W15:Z15)</f>
        <v>515131.07500000001</v>
      </c>
      <c r="AB15" s="392">
        <f ca="1">ФОП!O29</f>
        <v>1916872.2074999996</v>
      </c>
      <c r="AC15" s="392">
        <f ca="1">ФОП!P29</f>
        <v>1916872.2074999996</v>
      </c>
      <c r="AD15" s="392">
        <f ca="1">ФОП!Q29</f>
        <v>1916872.2074999996</v>
      </c>
      <c r="AE15" s="392">
        <f ca="1">ФОП!R29</f>
        <v>1916872.2074999996</v>
      </c>
      <c r="AF15" s="410">
        <f ca="1">SUM(AB15:AE15)</f>
        <v>7667488.8299999982</v>
      </c>
      <c r="AG15" s="411">
        <f ca="1">M15+R15+W15+AB15</f>
        <v>4097782.7687499998</v>
      </c>
      <c r="AH15" s="411">
        <f ca="1">N15+S15+X15+AC15</f>
        <v>4097782.7687499998</v>
      </c>
      <c r="AI15" s="411">
        <f ca="1">O15+T15+Y15+AD15</f>
        <v>4097782.7687499998</v>
      </c>
      <c r="AJ15" s="411">
        <f ca="1">P15+U15+Z15+AE15</f>
        <v>4097782.7687499998</v>
      </c>
      <c r="AK15" s="410">
        <f t="shared" si="6"/>
        <v>16391131.074999999</v>
      </c>
      <c r="AL15" s="412"/>
      <c r="AM15" s="412"/>
      <c r="AN15" s="412"/>
      <c r="AO15" s="412"/>
      <c r="AP15" s="413">
        <f t="shared" si="1"/>
        <v>0</v>
      </c>
      <c r="AQ15" s="411">
        <f>AG15*E15/100%</f>
        <v>881023.29528124991</v>
      </c>
      <c r="AR15" s="411">
        <f>AH15*F15/100%</f>
        <v>881023.29528124991</v>
      </c>
      <c r="AS15" s="411">
        <f>AI15*G15/100%</f>
        <v>881023.29528124991</v>
      </c>
      <c r="AT15" s="411">
        <f>AJ15*H15/100%</f>
        <v>881023.29528124991</v>
      </c>
      <c r="AU15" s="410">
        <f t="shared" si="2"/>
        <v>3524093.1811249997</v>
      </c>
      <c r="AV15" s="411">
        <f>AG15*(18%+1.5%)/100%</f>
        <v>799067.63990624994</v>
      </c>
      <c r="AW15" s="411">
        <f>AH15*(18%+1.5%)/100%</f>
        <v>799067.63990624994</v>
      </c>
      <c r="AX15" s="411">
        <f>AI15*(18%+1.5%)/100%</f>
        <v>799067.63990624994</v>
      </c>
      <c r="AY15" s="411">
        <f>AJ15*(18%+1.5%)/100%</f>
        <v>799067.63990624994</v>
      </c>
      <c r="AZ15" s="410">
        <f>SUM(AV15:AY15)</f>
        <v>3196270.5596249998</v>
      </c>
    </row>
    <row r="16" spans="2:52" s="418" customFormat="1" ht="22.5">
      <c r="B16" s="414"/>
      <c r="C16" s="1599"/>
      <c r="D16" s="458"/>
      <c r="E16" s="410" t="s">
        <v>1998</v>
      </c>
      <c r="F16" s="410" t="s">
        <v>1998</v>
      </c>
      <c r="G16" s="410" t="s">
        <v>1998</v>
      </c>
      <c r="H16" s="410" t="s">
        <v>1998</v>
      </c>
      <c r="I16" s="415">
        <f t="shared" ref="I16:U16" si="10">SUM(I15:I15)</f>
        <v>98</v>
      </c>
      <c r="J16" s="415">
        <f t="shared" si="10"/>
        <v>98</v>
      </c>
      <c r="K16" s="415">
        <f t="shared" si="10"/>
        <v>98</v>
      </c>
      <c r="L16" s="415">
        <f t="shared" si="10"/>
        <v>98</v>
      </c>
      <c r="M16" s="410">
        <f t="shared" si="10"/>
        <v>2052127.7925000004</v>
      </c>
      <c r="N16" s="410">
        <f t="shared" si="10"/>
        <v>2052127.7925000004</v>
      </c>
      <c r="O16" s="410">
        <f t="shared" si="10"/>
        <v>2052127.7925000004</v>
      </c>
      <c r="P16" s="410">
        <f t="shared" si="10"/>
        <v>2052127.7925000004</v>
      </c>
      <c r="Q16" s="410">
        <f t="shared" si="10"/>
        <v>8208511.1700000018</v>
      </c>
      <c r="R16" s="410">
        <f t="shared" si="10"/>
        <v>0</v>
      </c>
      <c r="S16" s="410">
        <f t="shared" si="10"/>
        <v>0</v>
      </c>
      <c r="T16" s="410">
        <f t="shared" si="10"/>
        <v>0</v>
      </c>
      <c r="U16" s="410">
        <f t="shared" si="10"/>
        <v>0</v>
      </c>
      <c r="V16" s="410">
        <f t="shared" si="5"/>
        <v>0</v>
      </c>
      <c r="W16" s="410">
        <f t="shared" ref="W16:AJ16" si="11">SUM(W15:W15)</f>
        <v>128782.76875</v>
      </c>
      <c r="X16" s="410">
        <f t="shared" si="11"/>
        <v>128782.76875</v>
      </c>
      <c r="Y16" s="410">
        <f t="shared" si="11"/>
        <v>128782.76875</v>
      </c>
      <c r="Z16" s="410">
        <f t="shared" si="11"/>
        <v>128782.76875</v>
      </c>
      <c r="AA16" s="410">
        <f t="shared" si="11"/>
        <v>515131.07500000001</v>
      </c>
      <c r="AB16" s="410">
        <f t="shared" si="11"/>
        <v>1916872.2074999996</v>
      </c>
      <c r="AC16" s="410">
        <f t="shared" si="11"/>
        <v>1916872.2074999996</v>
      </c>
      <c r="AD16" s="410">
        <f t="shared" si="11"/>
        <v>1916872.2074999996</v>
      </c>
      <c r="AE16" s="410">
        <f t="shared" si="11"/>
        <v>1916872.2074999996</v>
      </c>
      <c r="AF16" s="410">
        <f t="shared" si="11"/>
        <v>7667488.8299999982</v>
      </c>
      <c r="AG16" s="410">
        <f t="shared" si="11"/>
        <v>4097782.7687499998</v>
      </c>
      <c r="AH16" s="410">
        <f t="shared" si="11"/>
        <v>4097782.7687499998</v>
      </c>
      <c r="AI16" s="410">
        <f t="shared" si="11"/>
        <v>4097782.7687499998</v>
      </c>
      <c r="AJ16" s="410">
        <f t="shared" si="11"/>
        <v>4097782.7687499998</v>
      </c>
      <c r="AK16" s="410">
        <f t="shared" si="6"/>
        <v>16391131.074999999</v>
      </c>
      <c r="AL16" s="413">
        <f>SUM(AL15:AL15)</f>
        <v>0</v>
      </c>
      <c r="AM16" s="413">
        <f>SUM(AM15:AM15)</f>
        <v>0</v>
      </c>
      <c r="AN16" s="413">
        <f>SUM(AN15:AN15)</f>
        <v>0</v>
      </c>
      <c r="AO16" s="413">
        <f>SUM(AO15:AO15)</f>
        <v>0</v>
      </c>
      <c r="AP16" s="413">
        <f t="shared" si="1"/>
        <v>0</v>
      </c>
      <c r="AQ16" s="410">
        <f t="shared" ref="AQ16:AZ16" si="12">SUM(AQ15:AQ15)</f>
        <v>881023.29528124991</v>
      </c>
      <c r="AR16" s="410">
        <f t="shared" si="12"/>
        <v>881023.29528124991</v>
      </c>
      <c r="AS16" s="410">
        <f t="shared" si="12"/>
        <v>881023.29528124991</v>
      </c>
      <c r="AT16" s="410">
        <f t="shared" si="12"/>
        <v>881023.29528124991</v>
      </c>
      <c r="AU16" s="410">
        <f t="shared" si="2"/>
        <v>3524093.1811249997</v>
      </c>
      <c r="AV16" s="410">
        <f t="shared" si="12"/>
        <v>799067.63990624994</v>
      </c>
      <c r="AW16" s="410">
        <f t="shared" si="12"/>
        <v>799067.63990624994</v>
      </c>
      <c r="AX16" s="410">
        <f t="shared" si="12"/>
        <v>799067.63990624994</v>
      </c>
      <c r="AY16" s="410">
        <f t="shared" si="12"/>
        <v>799067.63990624994</v>
      </c>
      <c r="AZ16" s="410">
        <f t="shared" si="12"/>
        <v>3196270.5596249998</v>
      </c>
    </row>
    <row r="17" spans="2:52" s="418" customFormat="1" ht="22.5">
      <c r="B17" s="414"/>
      <c r="C17" s="1599" t="s">
        <v>1989</v>
      </c>
      <c r="D17" s="457">
        <f ca="1">ФОП!A9</f>
        <v>43</v>
      </c>
      <c r="E17" s="1234">
        <f>E15</f>
        <v>0.215</v>
      </c>
      <c r="F17" s="1234">
        <f>F15</f>
        <v>0.215</v>
      </c>
      <c r="G17" s="1234">
        <f>G15</f>
        <v>0.215</v>
      </c>
      <c r="H17" s="1234">
        <f>H15</f>
        <v>0.215</v>
      </c>
      <c r="I17" s="407">
        <f ca="1">ФОП!A9</f>
        <v>43</v>
      </c>
      <c r="J17" s="408">
        <f>I17</f>
        <v>43</v>
      </c>
      <c r="K17" s="408">
        <f>J17</f>
        <v>43</v>
      </c>
      <c r="L17" s="408">
        <f>K17</f>
        <v>43</v>
      </c>
      <c r="M17" s="409">
        <f ca="1">ФОП!O9</f>
        <v>910188.90000000014</v>
      </c>
      <c r="N17" s="409">
        <f ca="1">ФОП!P9</f>
        <v>910188.90000000014</v>
      </c>
      <c r="O17" s="409">
        <f ca="1">ФОП!Q9</f>
        <v>910188.90000000014</v>
      </c>
      <c r="P17" s="409">
        <f ca="1">ФОП!R9</f>
        <v>910188.90000000014</v>
      </c>
      <c r="Q17" s="410">
        <f ca="1">SUM(M17:P17)</f>
        <v>3640755.6000000006</v>
      </c>
      <c r="R17" s="416">
        <f ca="1">ФОП!O16</f>
        <v>64879.343126684646</v>
      </c>
      <c r="S17" s="416">
        <f ca="1">ФОП!P16</f>
        <v>78214.161906650275</v>
      </c>
      <c r="T17" s="416">
        <f ca="1">ФОП!Q16</f>
        <v>58809.422312252966</v>
      </c>
      <c r="U17" s="416">
        <f ca="1">ФОП!R16</f>
        <v>59311.515983606558</v>
      </c>
      <c r="V17" s="410">
        <f t="shared" si="5"/>
        <v>261214.44332919444</v>
      </c>
      <c r="W17" s="409">
        <f ca="1">ФОП!O23</f>
        <v>38240.75</v>
      </c>
      <c r="X17" s="409">
        <f ca="1">ФОП!P23</f>
        <v>38240.75</v>
      </c>
      <c r="Y17" s="409">
        <f ca="1">ФОП!Q23</f>
        <v>38240.75</v>
      </c>
      <c r="Z17" s="409">
        <f ca="1">ФОП!R23</f>
        <v>38240.75</v>
      </c>
      <c r="AA17" s="410">
        <f ca="1">SUM(W17:Z17)</f>
        <v>152963</v>
      </c>
      <c r="AB17" s="392">
        <f ca="1">ФОП!O30</f>
        <v>0</v>
      </c>
      <c r="AC17" s="392">
        <f ca="1">ФОП!P30</f>
        <v>0</v>
      </c>
      <c r="AD17" s="392">
        <f ca="1">ФОП!Q30</f>
        <v>0</v>
      </c>
      <c r="AE17" s="392">
        <f ca="1">ФОП!R30</f>
        <v>0</v>
      </c>
      <c r="AF17" s="410">
        <f ca="1">SUM(AB17:AE17)</f>
        <v>0</v>
      </c>
      <c r="AG17" s="411">
        <f ca="1">M17+R17+W17+AB17</f>
        <v>1013308.9931266848</v>
      </c>
      <c r="AH17" s="411">
        <f ca="1">N17+S17+X17+AC17</f>
        <v>1026643.8119066504</v>
      </c>
      <c r="AI17" s="411">
        <f ca="1">O17+T17+Y17+AD17</f>
        <v>1007239.0723122531</v>
      </c>
      <c r="AJ17" s="411">
        <f ca="1">P17+U17+Z17+AE17</f>
        <v>1007741.1659836067</v>
      </c>
      <c r="AK17" s="410">
        <f t="shared" si="6"/>
        <v>4054933.0433291951</v>
      </c>
      <c r="AL17" s="412"/>
      <c r="AM17" s="412">
        <f>AL17</f>
        <v>0</v>
      </c>
      <c r="AN17" s="412">
        <f>AM17</f>
        <v>0</v>
      </c>
      <c r="AO17" s="412">
        <f>AN17</f>
        <v>0</v>
      </c>
      <c r="AP17" s="413">
        <f t="shared" si="1"/>
        <v>0</v>
      </c>
      <c r="AQ17" s="411">
        <f>AG17*E17/100%</f>
        <v>217861.43352223723</v>
      </c>
      <c r="AR17" s="411">
        <f>AH17*F17/100%</f>
        <v>220728.41955992984</v>
      </c>
      <c r="AS17" s="411">
        <f>AI17*G17/100%</f>
        <v>216556.4005471344</v>
      </c>
      <c r="AT17" s="411">
        <f>AJ17*H17/100%</f>
        <v>216664.35068647543</v>
      </c>
      <c r="AU17" s="410">
        <f t="shared" si="2"/>
        <v>871810.60431577684</v>
      </c>
      <c r="AV17" s="411">
        <f>AG17*(18%+1.5%)/100%</f>
        <v>197595.25365970354</v>
      </c>
      <c r="AW17" s="411">
        <f>AH17*(18%+1.5%)/100%</f>
        <v>200195.54332179684</v>
      </c>
      <c r="AX17" s="411">
        <f>AI17*(18%+1.5%)/100%</f>
        <v>196411.61910088937</v>
      </c>
      <c r="AY17" s="411">
        <f>AJ17*(18%+1.5%)/100%</f>
        <v>196509.52736680332</v>
      </c>
      <c r="AZ17" s="410">
        <f>SUM(AV17:AY17)</f>
        <v>790711.94344919291</v>
      </c>
    </row>
    <row r="18" spans="2:52" s="418" customFormat="1" ht="22.5">
      <c r="B18" s="414"/>
      <c r="C18" s="1599"/>
      <c r="D18" s="458"/>
      <c r="E18" s="410" t="s">
        <v>1998</v>
      </c>
      <c r="F18" s="410" t="s">
        <v>1998</v>
      </c>
      <c r="G18" s="410" t="s">
        <v>1998</v>
      </c>
      <c r="H18" s="410" t="s">
        <v>1998</v>
      </c>
      <c r="I18" s="415">
        <f t="shared" ref="I18:U18" si="13">SUM(I17:I17)</f>
        <v>43</v>
      </c>
      <c r="J18" s="415">
        <f t="shared" si="13"/>
        <v>43</v>
      </c>
      <c r="K18" s="415">
        <f t="shared" si="13"/>
        <v>43</v>
      </c>
      <c r="L18" s="415">
        <f t="shared" si="13"/>
        <v>43</v>
      </c>
      <c r="M18" s="410">
        <f t="shared" si="13"/>
        <v>910188.90000000014</v>
      </c>
      <c r="N18" s="410">
        <f t="shared" si="13"/>
        <v>910188.90000000014</v>
      </c>
      <c r="O18" s="410">
        <f t="shared" si="13"/>
        <v>910188.90000000014</v>
      </c>
      <c r="P18" s="410">
        <f t="shared" si="13"/>
        <v>910188.90000000014</v>
      </c>
      <c r="Q18" s="410">
        <f t="shared" si="13"/>
        <v>3640755.6000000006</v>
      </c>
      <c r="R18" s="410">
        <f t="shared" si="13"/>
        <v>64879.343126684646</v>
      </c>
      <c r="S18" s="410">
        <f t="shared" si="13"/>
        <v>78214.161906650275</v>
      </c>
      <c r="T18" s="410">
        <f t="shared" si="13"/>
        <v>58809.422312252966</v>
      </c>
      <c r="U18" s="410">
        <f t="shared" si="13"/>
        <v>59311.515983606558</v>
      </c>
      <c r="V18" s="410">
        <f t="shared" si="5"/>
        <v>261214.44332919444</v>
      </c>
      <c r="W18" s="410">
        <f t="shared" ref="W18:AJ18" si="14">SUM(W17:W17)</f>
        <v>38240.75</v>
      </c>
      <c r="X18" s="410">
        <f t="shared" si="14"/>
        <v>38240.75</v>
      </c>
      <c r="Y18" s="410">
        <f t="shared" si="14"/>
        <v>38240.75</v>
      </c>
      <c r="Z18" s="410">
        <f t="shared" si="14"/>
        <v>38240.75</v>
      </c>
      <c r="AA18" s="410">
        <f t="shared" si="14"/>
        <v>152963</v>
      </c>
      <c r="AB18" s="410">
        <f t="shared" si="14"/>
        <v>0</v>
      </c>
      <c r="AC18" s="410">
        <f t="shared" si="14"/>
        <v>0</v>
      </c>
      <c r="AD18" s="410">
        <f t="shared" si="14"/>
        <v>0</v>
      </c>
      <c r="AE18" s="410">
        <f t="shared" si="14"/>
        <v>0</v>
      </c>
      <c r="AF18" s="410">
        <f t="shared" si="14"/>
        <v>0</v>
      </c>
      <c r="AG18" s="410">
        <f t="shared" si="14"/>
        <v>1013308.9931266848</v>
      </c>
      <c r="AH18" s="410">
        <f t="shared" si="14"/>
        <v>1026643.8119066504</v>
      </c>
      <c r="AI18" s="410">
        <f t="shared" si="14"/>
        <v>1007239.0723122531</v>
      </c>
      <c r="AJ18" s="410">
        <f t="shared" si="14"/>
        <v>1007741.1659836067</v>
      </c>
      <c r="AK18" s="410">
        <f t="shared" si="6"/>
        <v>4054933.0433291951</v>
      </c>
      <c r="AL18" s="413">
        <f>SUM(AL17:AL17)</f>
        <v>0</v>
      </c>
      <c r="AM18" s="413">
        <f>SUM(AM17:AM17)</f>
        <v>0</v>
      </c>
      <c r="AN18" s="413">
        <f>SUM(AN17:AN17)</f>
        <v>0</v>
      </c>
      <c r="AO18" s="413">
        <f>SUM(AO17:AO17)</f>
        <v>0</v>
      </c>
      <c r="AP18" s="413">
        <f t="shared" si="1"/>
        <v>0</v>
      </c>
      <c r="AQ18" s="410">
        <f t="shared" ref="AQ18:AZ18" si="15">SUM(AQ17:AQ17)</f>
        <v>217861.43352223723</v>
      </c>
      <c r="AR18" s="410">
        <f t="shared" si="15"/>
        <v>220728.41955992984</v>
      </c>
      <c r="AS18" s="410">
        <f t="shared" si="15"/>
        <v>216556.4005471344</v>
      </c>
      <c r="AT18" s="410">
        <f t="shared" si="15"/>
        <v>216664.35068647543</v>
      </c>
      <c r="AU18" s="410">
        <f t="shared" si="2"/>
        <v>871810.60431577684</v>
      </c>
      <c r="AV18" s="410">
        <f t="shared" si="15"/>
        <v>197595.25365970354</v>
      </c>
      <c r="AW18" s="410">
        <f t="shared" si="15"/>
        <v>200195.54332179684</v>
      </c>
      <c r="AX18" s="410">
        <f t="shared" si="15"/>
        <v>196411.61910088937</v>
      </c>
      <c r="AY18" s="410">
        <f t="shared" si="15"/>
        <v>196509.52736680332</v>
      </c>
      <c r="AZ18" s="410">
        <f t="shared" si="15"/>
        <v>790711.94344919291</v>
      </c>
    </row>
    <row r="19" spans="2:52" s="406" customFormat="1" ht="22.5">
      <c r="B19" s="399"/>
      <c r="C19" s="1599" t="s">
        <v>1791</v>
      </c>
      <c r="D19" s="459">
        <f ca="1">ФОП!A10</f>
        <v>42.5</v>
      </c>
      <c r="E19" s="1234">
        <f>E17</f>
        <v>0.215</v>
      </c>
      <c r="F19" s="1234">
        <f>F17</f>
        <v>0.215</v>
      </c>
      <c r="G19" s="1234">
        <f>G17</f>
        <v>0.215</v>
      </c>
      <c r="H19" s="1234">
        <f>H17</f>
        <v>0.215</v>
      </c>
      <c r="I19" s="419">
        <f ca="1">ФОП!A10</f>
        <v>42.5</v>
      </c>
      <c r="J19" s="408">
        <f>I19</f>
        <v>42.5</v>
      </c>
      <c r="K19" s="408">
        <f>J19</f>
        <v>42.5</v>
      </c>
      <c r="L19" s="408">
        <f>K19</f>
        <v>42.5</v>
      </c>
      <c r="M19" s="409">
        <f ca="1">ФОП!O10</f>
        <v>857721.60000000009</v>
      </c>
      <c r="N19" s="409">
        <f ca="1">ФОП!P10</f>
        <v>656721.60000000009</v>
      </c>
      <c r="O19" s="409">
        <f ca="1">ФОП!Q10</f>
        <v>656721.60000000009</v>
      </c>
      <c r="P19" s="409">
        <f ca="1">ФОП!R10</f>
        <v>857721.60000000009</v>
      </c>
      <c r="Q19" s="410">
        <f ca="1">SUM(M19:P19)</f>
        <v>3028886.4000000004</v>
      </c>
      <c r="R19" s="416">
        <f ca="1">ФОП!O17</f>
        <v>20373.793396226414</v>
      </c>
      <c r="S19" s="416">
        <f ca="1">ФОП!P17</f>
        <v>13322.853107030969</v>
      </c>
      <c r="T19" s="416">
        <f ca="1">ФОП!Q17</f>
        <v>6073.4525000000003</v>
      </c>
      <c r="U19" s="416">
        <f ca="1">ФОП!R17</f>
        <v>18141.075196008551</v>
      </c>
      <c r="V19" s="410">
        <f ca="1">SUM(R19:U19)</f>
        <v>57911.174199265937</v>
      </c>
      <c r="W19" s="409">
        <f ca="1">ФОП!O24</f>
        <v>36524.724999999999</v>
      </c>
      <c r="X19" s="409">
        <f ca="1">ФОП!P24</f>
        <v>36524.724999999999</v>
      </c>
      <c r="Y19" s="409">
        <f ca="1">ФОП!Q24</f>
        <v>36524.724999999999</v>
      </c>
      <c r="Z19" s="409">
        <f ca="1">ФОП!R24</f>
        <v>36524.724999999999</v>
      </c>
      <c r="AA19" s="410">
        <f ca="1">SUM(W19:Z19)</f>
        <v>146098.9</v>
      </c>
      <c r="AB19" s="392">
        <f ca="1">ФОП!O31</f>
        <v>0</v>
      </c>
      <c r="AC19" s="392">
        <f ca="1">ФОП!P31</f>
        <v>0</v>
      </c>
      <c r="AD19" s="392">
        <f ca="1">ФОП!Q31</f>
        <v>0</v>
      </c>
      <c r="AE19" s="392">
        <f ca="1">ФОП!R31</f>
        <v>0</v>
      </c>
      <c r="AF19" s="410">
        <f ca="1">SUM(AB19:AE19)</f>
        <v>0</v>
      </c>
      <c r="AG19" s="411">
        <f ca="1">M19+R19+W19+AB19</f>
        <v>914620.11839622643</v>
      </c>
      <c r="AH19" s="411">
        <f ca="1">N19+S19+X19+AC19</f>
        <v>706569.17810703104</v>
      </c>
      <c r="AI19" s="411">
        <f ca="1">O19+T19+Y19+AD19</f>
        <v>699319.77750000008</v>
      </c>
      <c r="AJ19" s="411">
        <f ca="1">P19+U19+Z19+AE19</f>
        <v>912387.40019600862</v>
      </c>
      <c r="AK19" s="410">
        <f t="shared" si="6"/>
        <v>3232896.4741992662</v>
      </c>
      <c r="AL19" s="412"/>
      <c r="AM19" s="412">
        <f>AL19</f>
        <v>0</v>
      </c>
      <c r="AN19" s="412">
        <f>AM19</f>
        <v>0</v>
      </c>
      <c r="AO19" s="412">
        <f>AN19</f>
        <v>0</v>
      </c>
      <c r="AP19" s="413">
        <f t="shared" si="1"/>
        <v>0</v>
      </c>
      <c r="AQ19" s="411">
        <f>AG19*E19/100%</f>
        <v>196643.32545518869</v>
      </c>
      <c r="AR19" s="411">
        <f>AH19*F19/100%</f>
        <v>151912.37329301168</v>
      </c>
      <c r="AS19" s="411">
        <f>AI19*G19/100%</f>
        <v>150353.75216250002</v>
      </c>
      <c r="AT19" s="411">
        <f>AJ19*H19/100%</f>
        <v>196163.29104214185</v>
      </c>
      <c r="AU19" s="410">
        <f t="shared" si="2"/>
        <v>695072.74195284222</v>
      </c>
      <c r="AV19" s="411">
        <f>AG19*(18%+1.5%)/100%</f>
        <v>178350.92308726415</v>
      </c>
      <c r="AW19" s="411">
        <f>AH19*(18%+1.5%)/100%</f>
        <v>137780.98973087105</v>
      </c>
      <c r="AX19" s="411">
        <f>AI19*(18%+1.5%)/100%</f>
        <v>136367.35661250001</v>
      </c>
      <c r="AY19" s="411">
        <f>AJ19*(18%+1.5%)/100%</f>
        <v>177915.54303822169</v>
      </c>
      <c r="AZ19" s="410">
        <f>SUM(AV19:AY19)</f>
        <v>630414.81246885692</v>
      </c>
    </row>
    <row r="20" spans="2:52" s="421" customFormat="1" ht="22.5">
      <c r="B20" s="420"/>
      <c r="C20" s="1599"/>
      <c r="D20" s="458"/>
      <c r="E20" s="410" t="s">
        <v>1998</v>
      </c>
      <c r="F20" s="410" t="s">
        <v>1998</v>
      </c>
      <c r="G20" s="410" t="s">
        <v>1998</v>
      </c>
      <c r="H20" s="410" t="s">
        <v>1998</v>
      </c>
      <c r="I20" s="415">
        <f t="shared" ref="I20:AJ20" si="16">SUM(I19:I19)</f>
        <v>42.5</v>
      </c>
      <c r="J20" s="415">
        <f t="shared" si="16"/>
        <v>42.5</v>
      </c>
      <c r="K20" s="415">
        <f t="shared" si="16"/>
        <v>42.5</v>
      </c>
      <c r="L20" s="415">
        <f t="shared" si="16"/>
        <v>42.5</v>
      </c>
      <c r="M20" s="410">
        <f t="shared" si="16"/>
        <v>857721.60000000009</v>
      </c>
      <c r="N20" s="410">
        <f t="shared" si="16"/>
        <v>656721.60000000009</v>
      </c>
      <c r="O20" s="410">
        <f t="shared" si="16"/>
        <v>656721.60000000009</v>
      </c>
      <c r="P20" s="410">
        <f t="shared" si="16"/>
        <v>857721.60000000009</v>
      </c>
      <c r="Q20" s="410">
        <f t="shared" si="16"/>
        <v>3028886.4000000004</v>
      </c>
      <c r="R20" s="410">
        <f t="shared" si="16"/>
        <v>20373.793396226414</v>
      </c>
      <c r="S20" s="410">
        <f t="shared" si="16"/>
        <v>13322.853107030969</v>
      </c>
      <c r="T20" s="410">
        <f t="shared" si="16"/>
        <v>6073.4525000000003</v>
      </c>
      <c r="U20" s="410">
        <f t="shared" si="16"/>
        <v>18141.075196008551</v>
      </c>
      <c r="V20" s="410">
        <f t="shared" si="16"/>
        <v>57911.174199265937</v>
      </c>
      <c r="W20" s="410">
        <f t="shared" si="16"/>
        <v>36524.724999999999</v>
      </c>
      <c r="X20" s="410">
        <f t="shared" si="16"/>
        <v>36524.724999999999</v>
      </c>
      <c r="Y20" s="410">
        <f t="shared" si="16"/>
        <v>36524.724999999999</v>
      </c>
      <c r="Z20" s="410">
        <f t="shared" si="16"/>
        <v>36524.724999999999</v>
      </c>
      <c r="AA20" s="410">
        <f t="shared" si="16"/>
        <v>146098.9</v>
      </c>
      <c r="AB20" s="410">
        <f t="shared" si="16"/>
        <v>0</v>
      </c>
      <c r="AC20" s="410">
        <f t="shared" si="16"/>
        <v>0</v>
      </c>
      <c r="AD20" s="410">
        <f t="shared" si="16"/>
        <v>0</v>
      </c>
      <c r="AE20" s="410">
        <f t="shared" si="16"/>
        <v>0</v>
      </c>
      <c r="AF20" s="410">
        <f t="shared" si="16"/>
        <v>0</v>
      </c>
      <c r="AG20" s="410">
        <f t="shared" si="16"/>
        <v>914620.11839622643</v>
      </c>
      <c r="AH20" s="410">
        <f t="shared" si="16"/>
        <v>706569.17810703104</v>
      </c>
      <c r="AI20" s="410">
        <f t="shared" si="16"/>
        <v>699319.77750000008</v>
      </c>
      <c r="AJ20" s="410">
        <f t="shared" si="16"/>
        <v>912387.40019600862</v>
      </c>
      <c r="AK20" s="410">
        <f t="shared" si="6"/>
        <v>3232896.4741992662</v>
      </c>
      <c r="AL20" s="413">
        <f>SUM(AL19:AL19)</f>
        <v>0</v>
      </c>
      <c r="AM20" s="413">
        <f>SUM(AM19:AM19)</f>
        <v>0</v>
      </c>
      <c r="AN20" s="413">
        <f>SUM(AN19:AN19)</f>
        <v>0</v>
      </c>
      <c r="AO20" s="413">
        <f>SUM(AO19:AO19)</f>
        <v>0</v>
      </c>
      <c r="AP20" s="413">
        <f t="shared" si="1"/>
        <v>0</v>
      </c>
      <c r="AQ20" s="410">
        <f t="shared" ref="AQ20:AZ20" si="17">SUM(AQ19:AQ19)</f>
        <v>196643.32545518869</v>
      </c>
      <c r="AR20" s="410">
        <f t="shared" si="17"/>
        <v>151912.37329301168</v>
      </c>
      <c r="AS20" s="410">
        <f t="shared" si="17"/>
        <v>150353.75216250002</v>
      </c>
      <c r="AT20" s="410">
        <f t="shared" si="17"/>
        <v>196163.29104214185</v>
      </c>
      <c r="AU20" s="410">
        <f t="shared" si="2"/>
        <v>695072.74195284222</v>
      </c>
      <c r="AV20" s="410">
        <f t="shared" si="17"/>
        <v>178350.92308726415</v>
      </c>
      <c r="AW20" s="410">
        <f t="shared" si="17"/>
        <v>137780.98973087105</v>
      </c>
      <c r="AX20" s="410">
        <f t="shared" si="17"/>
        <v>136367.35661250001</v>
      </c>
      <c r="AY20" s="410">
        <f t="shared" si="17"/>
        <v>177915.54303822169</v>
      </c>
      <c r="AZ20" s="410">
        <f t="shared" si="17"/>
        <v>630414.81246885692</v>
      </c>
    </row>
    <row r="21" spans="2:52" s="421" customFormat="1" ht="22.5">
      <c r="B21" s="420"/>
      <c r="C21" s="417"/>
      <c r="D21" s="455">
        <f>D9+D11+D13+D15+D17+D19</f>
        <v>241.25</v>
      </c>
      <c r="E21" s="410"/>
      <c r="F21" s="410"/>
      <c r="G21" s="410"/>
      <c r="H21" s="410"/>
      <c r="I21" s="415">
        <f>I10+I12+I14+I16+I18+I20</f>
        <v>241.25</v>
      </c>
      <c r="J21" s="415">
        <f t="shared" ref="J21:AZ21" si="18">J10+J12+J14+J16+J18+J20</f>
        <v>241.25</v>
      </c>
      <c r="K21" s="415">
        <f t="shared" si="18"/>
        <v>241.25</v>
      </c>
      <c r="L21" s="415">
        <f t="shared" si="18"/>
        <v>241.25</v>
      </c>
      <c r="M21" s="410">
        <f ca="1">M10+M12+M14+M16+M18+M20</f>
        <v>5460916.3446637504</v>
      </c>
      <c r="N21" s="410">
        <f t="shared" si="18"/>
        <v>5259916.3446637504</v>
      </c>
      <c r="O21" s="410">
        <f t="shared" si="18"/>
        <v>5259916.3446637504</v>
      </c>
      <c r="P21" s="410">
        <f t="shared" si="18"/>
        <v>5460916.3446637504</v>
      </c>
      <c r="Q21" s="410">
        <f t="shared" si="18"/>
        <v>21441665.378655002</v>
      </c>
      <c r="R21" s="410">
        <f t="shared" si="18"/>
        <v>85253.136522911052</v>
      </c>
      <c r="S21" s="410">
        <f t="shared" si="18"/>
        <v>91537.015013681244</v>
      </c>
      <c r="T21" s="410">
        <f t="shared" si="18"/>
        <v>64882.874812252965</v>
      </c>
      <c r="U21" s="410">
        <f t="shared" si="18"/>
        <v>77452.591179615105</v>
      </c>
      <c r="V21" s="410">
        <f t="shared" si="18"/>
        <v>319125.6175284604</v>
      </c>
      <c r="W21" s="410">
        <f t="shared" si="18"/>
        <v>308278.01967812498</v>
      </c>
      <c r="X21" s="410">
        <f t="shared" si="18"/>
        <v>308278.01967812498</v>
      </c>
      <c r="Y21" s="410">
        <f t="shared" si="18"/>
        <v>308278.01967812498</v>
      </c>
      <c r="Z21" s="410">
        <f t="shared" si="18"/>
        <v>308278.01967812498</v>
      </c>
      <c r="AA21" s="410">
        <f t="shared" si="18"/>
        <v>1233112.0787124999</v>
      </c>
      <c r="AB21" s="410">
        <f t="shared" si="18"/>
        <v>3535003.3979812497</v>
      </c>
      <c r="AC21" s="410">
        <f t="shared" si="18"/>
        <v>3535003.3979812497</v>
      </c>
      <c r="AD21" s="410">
        <f t="shared" si="18"/>
        <v>3535003.3979812497</v>
      </c>
      <c r="AE21" s="410">
        <f t="shared" si="18"/>
        <v>3535003.3979812497</v>
      </c>
      <c r="AF21" s="410">
        <f t="shared" si="18"/>
        <v>14140013.591924999</v>
      </c>
      <c r="AG21" s="410">
        <f t="shared" si="18"/>
        <v>9389450.8988460358</v>
      </c>
      <c r="AH21" s="410">
        <f t="shared" si="18"/>
        <v>9194734.7773368061</v>
      </c>
      <c r="AI21" s="410">
        <f t="shared" si="18"/>
        <v>9168080.6371353772</v>
      </c>
      <c r="AJ21" s="410">
        <f t="shared" si="18"/>
        <v>9381650.3535027392</v>
      </c>
      <c r="AK21" s="422">
        <f t="shared" si="18"/>
        <v>37133916.666820958</v>
      </c>
      <c r="AL21" s="413">
        <f t="shared" si="18"/>
        <v>0</v>
      </c>
      <c r="AM21" s="413">
        <f t="shared" si="18"/>
        <v>0</v>
      </c>
      <c r="AN21" s="413">
        <f t="shared" si="18"/>
        <v>0</v>
      </c>
      <c r="AO21" s="413">
        <f t="shared" si="18"/>
        <v>0</v>
      </c>
      <c r="AP21" s="413">
        <f t="shared" si="1"/>
        <v>0</v>
      </c>
      <c r="AQ21" s="410">
        <f t="shared" si="18"/>
        <v>2018731.9432518978</v>
      </c>
      <c r="AR21" s="410">
        <f t="shared" si="18"/>
        <v>1976867.9771274133</v>
      </c>
      <c r="AS21" s="410">
        <f t="shared" si="18"/>
        <v>1971137.3369841063</v>
      </c>
      <c r="AT21" s="410">
        <f t="shared" si="18"/>
        <v>2017054.8260030891</v>
      </c>
      <c r="AU21" s="422">
        <f t="shared" si="2"/>
        <v>7983792.0833665058</v>
      </c>
      <c r="AV21" s="410">
        <f t="shared" si="18"/>
        <v>1830942.925274977</v>
      </c>
      <c r="AW21" s="410">
        <f t="shared" si="18"/>
        <v>1792973.2815806773</v>
      </c>
      <c r="AX21" s="410">
        <f t="shared" si="18"/>
        <v>1787775.7242413987</v>
      </c>
      <c r="AY21" s="410">
        <f t="shared" si="18"/>
        <v>1829421.8189330343</v>
      </c>
      <c r="AZ21" s="410">
        <f t="shared" si="18"/>
        <v>7241113.7500300864</v>
      </c>
    </row>
    <row r="22" spans="2:52" s="428" customFormat="1" ht="22.5">
      <c r="B22" s="423"/>
      <c r="C22" s="424"/>
      <c r="D22" s="425"/>
      <c r="E22" s="420"/>
      <c r="F22" s="420"/>
      <c r="G22" s="420"/>
      <c r="H22" s="420"/>
      <c r="I22" s="426"/>
      <c r="J22" s="427"/>
      <c r="K22" s="427"/>
      <c r="L22" s="427"/>
      <c r="M22" s="427"/>
      <c r="N22" s="427"/>
      <c r="O22" s="427"/>
      <c r="P22" s="427"/>
      <c r="Q22" s="427">
        <f ca="1">ФОП!S11</f>
        <v>21441665.378655002</v>
      </c>
      <c r="R22" s="427"/>
      <c r="S22" s="427"/>
      <c r="T22" s="427"/>
      <c r="U22" s="427"/>
      <c r="V22" s="427">
        <f ca="1">ФОП!S18</f>
        <v>319125.6175284604</v>
      </c>
      <c r="W22" s="427"/>
      <c r="X22" s="427"/>
      <c r="Y22" s="427"/>
      <c r="Z22" s="427"/>
      <c r="AA22" s="427">
        <f ca="1">ФОП!S25</f>
        <v>1233112.0787124999</v>
      </c>
      <c r="AB22" s="427"/>
      <c r="AC22" s="427"/>
      <c r="AD22" s="427"/>
      <c r="AE22" s="427"/>
      <c r="AF22" s="427">
        <f ca="1">ФОП!S32</f>
        <v>14140013.591924999</v>
      </c>
      <c r="AK22" s="429">
        <f ca="1">AF22+AA22+V22+Q22</f>
        <v>37133916.666820958</v>
      </c>
      <c r="AL22" s="430"/>
      <c r="AM22" s="430"/>
      <c r="AN22" s="430"/>
      <c r="AO22" s="430"/>
      <c r="AP22" s="395"/>
      <c r="AU22" s="431">
        <f>AK21+AU21</f>
        <v>45117708.750187464</v>
      </c>
    </row>
    <row r="23" spans="2:52" s="428" customFormat="1" ht="22.5">
      <c r="B23" s="423"/>
      <c r="C23" s="424"/>
      <c r="D23" s="425"/>
      <c r="E23" s="420"/>
      <c r="F23" s="420"/>
      <c r="G23" s="420"/>
      <c r="H23" s="420"/>
      <c r="I23" s="426"/>
      <c r="J23" s="427"/>
      <c r="K23" s="427"/>
      <c r="L23" s="427"/>
      <c r="M23" s="427"/>
      <c r="N23" s="427"/>
      <c r="O23" s="427"/>
      <c r="P23" s="427"/>
      <c r="Q23" s="427">
        <f ca="1">Q22-Q21</f>
        <v>0</v>
      </c>
      <c r="R23" s="427"/>
      <c r="S23" s="427"/>
      <c r="T23" s="427"/>
      <c r="U23" s="427"/>
      <c r="V23" s="427">
        <f ca="1">V22-V21</f>
        <v>0</v>
      </c>
      <c r="W23" s="427"/>
      <c r="X23" s="427"/>
      <c r="Y23" s="427"/>
      <c r="Z23" s="427"/>
      <c r="AA23" s="427">
        <f ca="1">AA22-AA21</f>
        <v>0</v>
      </c>
      <c r="AB23" s="427"/>
      <c r="AC23" s="427"/>
      <c r="AD23" s="427"/>
      <c r="AE23" s="427"/>
      <c r="AF23" s="427">
        <f ca="1">AF22-AF21</f>
        <v>0</v>
      </c>
      <c r="AG23" s="427">
        <f ca="1">AG21/3</f>
        <v>3129816.9662820119</v>
      </c>
      <c r="AH23" s="427">
        <f ca="1">AH21/3</f>
        <v>3064911.5924456022</v>
      </c>
      <c r="AI23" s="427">
        <f ca="1">AI21/3</f>
        <v>3056026.8790451256</v>
      </c>
      <c r="AJ23" s="427">
        <f ca="1">AJ21/3</f>
        <v>3127216.7845009132</v>
      </c>
      <c r="AK23" s="427">
        <f ca="1">AK21/12</f>
        <v>3094493.0555684133</v>
      </c>
      <c r="AL23" s="430"/>
      <c r="AM23" s="430"/>
      <c r="AN23" s="430"/>
      <c r="AO23" s="430"/>
      <c r="AP23" s="395"/>
      <c r="AQ23" s="432">
        <f ca="1">ФОП!O34</f>
        <v>2018731.9432518976</v>
      </c>
      <c r="AR23" s="432">
        <f ca="1">ФОП!P34</f>
        <v>1976867.9771274135</v>
      </c>
      <c r="AS23" s="432">
        <f ca="1">ФОП!Q34</f>
        <v>1971137.3369841063</v>
      </c>
      <c r="AT23" s="432">
        <f ca="1">ФОП!R34</f>
        <v>2017054.8260030891</v>
      </c>
      <c r="AU23" s="432">
        <f ca="1">ФОП!S34</f>
        <v>7983792.0833665058</v>
      </c>
    </row>
    <row r="24" spans="2:52" s="428" customFormat="1" ht="22.5">
      <c r="B24" s="423"/>
      <c r="I24" s="150"/>
      <c r="Q24" s="423"/>
      <c r="V24" s="423"/>
      <c r="AA24" s="423"/>
      <c r="AF24" s="423"/>
      <c r="AG24" s="432">
        <f ca="1">ФОП!O33</f>
        <v>9389450.8988460358</v>
      </c>
      <c r="AH24" s="432">
        <f ca="1">ФОП!P33</f>
        <v>9194734.7773368061</v>
      </c>
      <c r="AI24" s="432">
        <f ca="1">ФОП!Q33</f>
        <v>9168080.637135379</v>
      </c>
      <c r="AJ24" s="432">
        <f ca="1">ФОП!R33</f>
        <v>9381650.3535027392</v>
      </c>
      <c r="AK24" s="433">
        <f ca="1">ФОП!S33</f>
        <v>37133916.666820958</v>
      </c>
      <c r="AL24" s="395"/>
      <c r="AM24" s="395"/>
      <c r="AN24" s="395"/>
      <c r="AO24" s="395"/>
      <c r="AP24" s="395"/>
      <c r="AU24" s="433">
        <f>AU23-AU21</f>
        <v>0</v>
      </c>
    </row>
    <row r="25" spans="2:52" s="428" customFormat="1" ht="22.5">
      <c r="B25" s="423"/>
      <c r="C25" s="1600" t="s">
        <v>2041</v>
      </c>
      <c r="D25" s="1600"/>
      <c r="E25" s="1600"/>
      <c r="F25" s="398"/>
      <c r="I25" s="150"/>
      <c r="Q25" s="423"/>
      <c r="V25" s="423"/>
      <c r="AA25" s="423"/>
      <c r="AF25" s="423"/>
      <c r="AG25" s="433">
        <f>AG21-AG24</f>
        <v>0</v>
      </c>
      <c r="AH25" s="433">
        <f>AH21-AH24</f>
        <v>0</v>
      </c>
      <c r="AI25" s="433">
        <f>AI21-AI24</f>
        <v>0</v>
      </c>
      <c r="AJ25" s="433">
        <f>AJ21-AJ24</f>
        <v>0</v>
      </c>
      <c r="AK25" s="433">
        <f>AK21-AK24</f>
        <v>0</v>
      </c>
      <c r="AL25" s="395"/>
      <c r="AM25" s="395"/>
      <c r="AN25" s="395"/>
      <c r="AO25" s="395"/>
      <c r="AP25" s="395"/>
      <c r="AU25" s="423"/>
    </row>
    <row r="26" spans="2:52" s="428" customFormat="1" ht="22.5">
      <c r="B26" s="423"/>
      <c r="I26" s="150"/>
      <c r="Q26" s="423"/>
      <c r="V26" s="423"/>
      <c r="AA26" s="423"/>
      <c r="AF26" s="423"/>
      <c r="AK26" s="423"/>
      <c r="AL26" s="395"/>
      <c r="AM26" s="395"/>
      <c r="AN26" s="395"/>
      <c r="AO26" s="395"/>
      <c r="AP26" s="395"/>
      <c r="AU26" s="423"/>
    </row>
    <row r="27" spans="2:52" s="394" customFormat="1" ht="22.5">
      <c r="B27" s="395"/>
      <c r="C27" s="1608" t="s">
        <v>2037</v>
      </c>
      <c r="D27" s="1608"/>
      <c r="E27" s="1608"/>
      <c r="F27" s="1608"/>
      <c r="G27" s="1608"/>
      <c r="H27" s="1608"/>
      <c r="I27" s="435"/>
      <c r="Q27" s="395"/>
      <c r="V27" s="395"/>
      <c r="AA27" s="395"/>
      <c r="AF27" s="395"/>
      <c r="AK27" s="395"/>
      <c r="AL27" s="395"/>
      <c r="AM27" s="395"/>
      <c r="AN27" s="395"/>
      <c r="AO27" s="395"/>
      <c r="AP27" s="395"/>
      <c r="AU27" s="395"/>
    </row>
    <row r="28" spans="2:52" s="395" customFormat="1" ht="21.75">
      <c r="C28" s="205" t="s">
        <v>2022</v>
      </c>
      <c r="D28" s="205" t="s">
        <v>2023</v>
      </c>
      <c r="E28" s="205" t="s">
        <v>1993</v>
      </c>
      <c r="F28" s="205" t="s">
        <v>2003</v>
      </c>
      <c r="G28" s="205" t="s">
        <v>2004</v>
      </c>
      <c r="H28" s="205" t="s">
        <v>1996</v>
      </c>
      <c r="I28" s="434"/>
    </row>
    <row r="29" spans="2:52" s="394" customFormat="1" ht="22.5">
      <c r="B29" s="395"/>
      <c r="C29" s="438" t="s">
        <v>2024</v>
      </c>
      <c r="D29" s="1538" t="s">
        <v>1999</v>
      </c>
      <c r="E29" s="412">
        <v>0</v>
      </c>
      <c r="F29" s="412">
        <v>0</v>
      </c>
      <c r="G29" s="412">
        <v>0</v>
      </c>
      <c r="H29" s="412">
        <v>0</v>
      </c>
      <c r="I29" s="435"/>
      <c r="Q29" s="395"/>
      <c r="V29" s="395"/>
      <c r="AA29" s="395"/>
      <c r="AF29" s="395"/>
      <c r="AK29" s="395"/>
      <c r="AL29" s="395"/>
      <c r="AM29" s="395"/>
      <c r="AN29" s="395"/>
      <c r="AO29" s="395"/>
      <c r="AP29" s="395"/>
      <c r="AU29" s="395"/>
    </row>
    <row r="30" spans="2:52" s="394" customFormat="1" ht="45">
      <c r="B30" s="395"/>
      <c r="C30" s="438" t="s">
        <v>2025</v>
      </c>
      <c r="D30" s="439">
        <f>SUM(E30:H30)</f>
        <v>0</v>
      </c>
      <c r="E30" s="412">
        <v>0</v>
      </c>
      <c r="F30" s="412">
        <v>0</v>
      </c>
      <c r="G30" s="412">
        <v>0</v>
      </c>
      <c r="H30" s="412">
        <v>0</v>
      </c>
      <c r="I30" s="435"/>
      <c r="Q30" s="395"/>
      <c r="V30" s="395"/>
      <c r="AA30" s="395"/>
      <c r="AF30" s="395"/>
      <c r="AK30" s="395"/>
      <c r="AL30" s="395"/>
      <c r="AM30" s="395"/>
      <c r="AN30" s="395"/>
      <c r="AO30" s="395"/>
      <c r="AP30" s="395"/>
      <c r="AU30" s="395"/>
    </row>
    <row r="31" spans="2:52" s="394" customFormat="1" ht="22.5">
      <c r="B31" s="395"/>
      <c r="C31" s="440" t="s">
        <v>2026</v>
      </c>
      <c r="D31" s="439">
        <f>SUM(E31:H31)</f>
        <v>0</v>
      </c>
      <c r="E31" s="439">
        <f>E29*E30</f>
        <v>0</v>
      </c>
      <c r="F31" s="439">
        <f>F29*F30</f>
        <v>0</v>
      </c>
      <c r="G31" s="439">
        <f>G29*G30</f>
        <v>0</v>
      </c>
      <c r="H31" s="439">
        <f>H29*H30</f>
        <v>0</v>
      </c>
      <c r="I31" s="435"/>
      <c r="Q31" s="395"/>
      <c r="R31" s="394" t="s">
        <v>1902</v>
      </c>
      <c r="V31" s="395"/>
      <c r="AA31" s="395"/>
      <c r="AF31" s="395"/>
      <c r="AK31" s="395"/>
      <c r="AL31" s="395"/>
      <c r="AM31" s="395"/>
      <c r="AN31" s="395"/>
      <c r="AO31" s="395"/>
      <c r="AP31" s="395"/>
      <c r="AU31" s="395"/>
    </row>
    <row r="32" spans="2:52" s="394" customFormat="1" ht="22.5">
      <c r="B32" s="395"/>
      <c r="C32" s="1539"/>
      <c r="D32" s="1540"/>
      <c r="E32" s="1540"/>
      <c r="F32" s="1540"/>
      <c r="G32" s="1540"/>
      <c r="H32" s="1540"/>
      <c r="I32" s="435"/>
      <c r="Q32" s="395"/>
      <c r="V32" s="395"/>
      <c r="AA32" s="395"/>
      <c r="AF32" s="395"/>
      <c r="AK32" s="395"/>
      <c r="AL32" s="395"/>
      <c r="AM32" s="395"/>
      <c r="AN32" s="395"/>
      <c r="AO32" s="395"/>
      <c r="AP32" s="395"/>
      <c r="AU32" s="395"/>
    </row>
    <row r="33" spans="2:47" s="394" customFormat="1" ht="22.5">
      <c r="B33" s="395"/>
      <c r="C33" s="1608" t="s">
        <v>2038</v>
      </c>
      <c r="D33" s="1608"/>
      <c r="E33" s="1608"/>
      <c r="F33" s="1608"/>
      <c r="G33" s="1608"/>
      <c r="H33" s="1608"/>
      <c r="I33" s="435"/>
      <c r="Q33" s="395"/>
      <c r="V33" s="395"/>
      <c r="AA33" s="395"/>
      <c r="AF33" s="395"/>
      <c r="AK33" s="395"/>
      <c r="AL33" s="395"/>
      <c r="AM33" s="395"/>
      <c r="AN33" s="395"/>
      <c r="AO33" s="395"/>
      <c r="AP33" s="395"/>
      <c r="AU33" s="395"/>
    </row>
    <row r="34" spans="2:47" s="395" customFormat="1" ht="21.75">
      <c r="C34" s="205" t="s">
        <v>2022</v>
      </c>
      <c r="D34" s="205" t="s">
        <v>2023</v>
      </c>
      <c r="E34" s="205" t="s">
        <v>1993</v>
      </c>
      <c r="F34" s="205" t="s">
        <v>2003</v>
      </c>
      <c r="G34" s="205" t="s">
        <v>2004</v>
      </c>
      <c r="H34" s="205" t="s">
        <v>1996</v>
      </c>
      <c r="I34" s="434"/>
    </row>
    <row r="35" spans="2:47" s="394" customFormat="1" ht="25.5">
      <c r="B35" s="395"/>
      <c r="C35" s="438" t="s">
        <v>1763</v>
      </c>
      <c r="D35" s="441" t="s">
        <v>1999</v>
      </c>
      <c r="E35" s="412">
        <v>0</v>
      </c>
      <c r="F35" s="412">
        <v>0</v>
      </c>
      <c r="G35" s="412">
        <v>0</v>
      </c>
      <c r="H35" s="412">
        <v>0</v>
      </c>
      <c r="I35" s="435"/>
      <c r="Q35" s="395"/>
      <c r="V35" s="395"/>
      <c r="AA35" s="395"/>
      <c r="AF35" s="395"/>
      <c r="AK35" s="395"/>
      <c r="AL35" s="395"/>
      <c r="AM35" s="395"/>
      <c r="AN35" s="395"/>
      <c r="AO35" s="395"/>
      <c r="AP35" s="395"/>
      <c r="AU35" s="395"/>
    </row>
    <row r="36" spans="2:47" s="394" customFormat="1" ht="48">
      <c r="B36" s="395"/>
      <c r="C36" s="438" t="s">
        <v>1764</v>
      </c>
      <c r="D36" s="439">
        <f>SUM(E36:H36)</f>
        <v>0</v>
      </c>
      <c r="E36" s="412">
        <v>0</v>
      </c>
      <c r="F36" s="412">
        <v>0</v>
      </c>
      <c r="G36" s="412">
        <v>0</v>
      </c>
      <c r="H36" s="412">
        <v>0</v>
      </c>
      <c r="I36" s="435"/>
      <c r="Q36" s="395"/>
      <c r="V36" s="395"/>
      <c r="AA36" s="395"/>
      <c r="AF36" s="395"/>
      <c r="AK36" s="395"/>
      <c r="AL36" s="395"/>
      <c r="AM36" s="395"/>
      <c r="AN36" s="395"/>
      <c r="AO36" s="395"/>
      <c r="AP36" s="395"/>
      <c r="AU36" s="395"/>
    </row>
    <row r="37" spans="2:47" s="394" customFormat="1" ht="22.5">
      <c r="B37" s="395"/>
      <c r="C37" s="440" t="s">
        <v>2027</v>
      </c>
      <c r="D37" s="439">
        <f>SUM(E37:H37)</f>
        <v>0</v>
      </c>
      <c r="E37" s="439">
        <f>E35*E36</f>
        <v>0</v>
      </c>
      <c r="F37" s="439">
        <f>F35*F36</f>
        <v>0</v>
      </c>
      <c r="G37" s="439">
        <f>G35*G36</f>
        <v>0</v>
      </c>
      <c r="H37" s="439">
        <f>H35*H36</f>
        <v>0</v>
      </c>
      <c r="I37" s="435"/>
      <c r="Q37" s="395"/>
      <c r="V37" s="395"/>
      <c r="AA37" s="395"/>
      <c r="AF37" s="395"/>
      <c r="AK37" s="395"/>
      <c r="AL37" s="395"/>
      <c r="AM37" s="395"/>
      <c r="AN37" s="395"/>
      <c r="AO37" s="395"/>
      <c r="AP37" s="395"/>
      <c r="AU37" s="395"/>
    </row>
    <row r="38" spans="2:47" s="394" customFormat="1" ht="25.5">
      <c r="B38" s="395"/>
      <c r="C38" s="438" t="s">
        <v>1765</v>
      </c>
      <c r="D38" s="441" t="s">
        <v>1999</v>
      </c>
      <c r="E38" s="412">
        <v>0</v>
      </c>
      <c r="F38" s="412">
        <v>0</v>
      </c>
      <c r="G38" s="412">
        <v>0</v>
      </c>
      <c r="H38" s="412">
        <v>0</v>
      </c>
      <c r="I38" s="435"/>
      <c r="Q38" s="395"/>
      <c r="V38" s="395"/>
      <c r="AA38" s="395"/>
      <c r="AF38" s="395"/>
      <c r="AK38" s="395"/>
      <c r="AL38" s="395"/>
      <c r="AM38" s="395"/>
      <c r="AN38" s="395"/>
      <c r="AO38" s="395"/>
      <c r="AP38" s="395"/>
      <c r="AU38" s="395"/>
    </row>
    <row r="39" spans="2:47" s="394" customFormat="1" ht="48">
      <c r="B39" s="395"/>
      <c r="C39" s="438" t="s">
        <v>1766</v>
      </c>
      <c r="D39" s="439">
        <f>SUM(E39:H39)</f>
        <v>15400</v>
      </c>
      <c r="E39" s="412">
        <v>3800</v>
      </c>
      <c r="F39" s="412">
        <v>4000</v>
      </c>
      <c r="G39" s="412">
        <v>3800</v>
      </c>
      <c r="H39" s="412">
        <v>3800</v>
      </c>
      <c r="I39" s="435"/>
      <c r="Q39" s="395"/>
      <c r="V39" s="395"/>
      <c r="AA39" s="395"/>
      <c r="AF39" s="395"/>
      <c r="AK39" s="395"/>
      <c r="AL39" s="395"/>
      <c r="AM39" s="395"/>
      <c r="AN39" s="395"/>
      <c r="AO39" s="395"/>
      <c r="AP39" s="395"/>
      <c r="AU39" s="395"/>
    </row>
    <row r="40" spans="2:47" s="394" customFormat="1" ht="22.5">
      <c r="B40" s="395"/>
      <c r="C40" s="440" t="s">
        <v>2028</v>
      </c>
      <c r="D40" s="439">
        <f>SUM(E40:H40)</f>
        <v>0</v>
      </c>
      <c r="E40" s="439">
        <f>E38*E39</f>
        <v>0</v>
      </c>
      <c r="F40" s="439">
        <f>F38*F39</f>
        <v>0</v>
      </c>
      <c r="G40" s="439">
        <f>G38*G39</f>
        <v>0</v>
      </c>
      <c r="H40" s="439">
        <f>H38*H39</f>
        <v>0</v>
      </c>
      <c r="I40" s="435"/>
      <c r="Q40" s="395"/>
      <c r="V40" s="395"/>
      <c r="AA40" s="395"/>
      <c r="AF40" s="395"/>
      <c r="AK40" s="395"/>
      <c r="AL40" s="395"/>
      <c r="AM40" s="395"/>
      <c r="AN40" s="395"/>
      <c r="AO40" s="395"/>
      <c r="AP40" s="395"/>
      <c r="AU40" s="395"/>
    </row>
    <row r="41" spans="2:47" s="394" customFormat="1" ht="25.5">
      <c r="B41" s="395"/>
      <c r="C41" s="438" t="s">
        <v>1767</v>
      </c>
      <c r="D41" s="441" t="s">
        <v>1999</v>
      </c>
      <c r="E41" s="412">
        <v>0</v>
      </c>
      <c r="F41" s="412">
        <v>0</v>
      </c>
      <c r="G41" s="412">
        <v>0</v>
      </c>
      <c r="H41" s="412">
        <v>0</v>
      </c>
      <c r="I41" s="435"/>
      <c r="Q41" s="395"/>
      <c r="V41" s="395"/>
      <c r="AA41" s="395"/>
      <c r="AF41" s="395"/>
      <c r="AK41" s="395"/>
      <c r="AL41" s="395"/>
      <c r="AM41" s="395"/>
      <c r="AN41" s="395"/>
      <c r="AO41" s="395"/>
      <c r="AP41" s="395"/>
      <c r="AU41" s="395"/>
    </row>
    <row r="42" spans="2:47" s="394" customFormat="1" ht="48">
      <c r="B42" s="395"/>
      <c r="C42" s="438" t="s">
        <v>1768</v>
      </c>
      <c r="D42" s="439">
        <f>SUM(E42:H42)</f>
        <v>15400</v>
      </c>
      <c r="E42" s="412">
        <f>E39</f>
        <v>3800</v>
      </c>
      <c r="F42" s="412">
        <f>F39</f>
        <v>4000</v>
      </c>
      <c r="G42" s="412">
        <f>G39</f>
        <v>3800</v>
      </c>
      <c r="H42" s="412">
        <f>H39</f>
        <v>3800</v>
      </c>
      <c r="I42" s="435"/>
      <c r="Q42" s="395"/>
      <c r="V42" s="395"/>
      <c r="AA42" s="395"/>
      <c r="AF42" s="395"/>
      <c r="AK42" s="395"/>
      <c r="AL42" s="395"/>
      <c r="AM42" s="395"/>
      <c r="AN42" s="395"/>
      <c r="AO42" s="395"/>
      <c r="AP42" s="395"/>
      <c r="AU42" s="395"/>
    </row>
    <row r="43" spans="2:47" s="394" customFormat="1" ht="22.5">
      <c r="B43" s="395"/>
      <c r="C43" s="440" t="s">
        <v>2029</v>
      </c>
      <c r="D43" s="439">
        <f>SUM(E43:H43)</f>
        <v>0</v>
      </c>
      <c r="E43" s="439">
        <f>E41*E42</f>
        <v>0</v>
      </c>
      <c r="F43" s="439">
        <f>F41*F42</f>
        <v>0</v>
      </c>
      <c r="G43" s="439">
        <f>G41*G42</f>
        <v>0</v>
      </c>
      <c r="H43" s="439">
        <f>H41*H42</f>
        <v>0</v>
      </c>
      <c r="I43" s="435"/>
      <c r="Q43" s="395"/>
      <c r="V43" s="395"/>
      <c r="AA43" s="395"/>
      <c r="AF43" s="395"/>
      <c r="AK43" s="395"/>
      <c r="AL43" s="395"/>
      <c r="AM43" s="395"/>
      <c r="AN43" s="395"/>
      <c r="AO43" s="395"/>
      <c r="AP43" s="395"/>
      <c r="AU43" s="395"/>
    </row>
    <row r="44" spans="2:47" s="394" customFormat="1" ht="22.5">
      <c r="B44" s="395"/>
      <c r="C44" s="1539"/>
      <c r="D44" s="1540"/>
      <c r="E44" s="1540"/>
      <c r="F44" s="1540"/>
      <c r="G44" s="1540"/>
      <c r="H44" s="1540"/>
      <c r="I44" s="435"/>
      <c r="Q44" s="395"/>
      <c r="V44" s="395"/>
      <c r="AA44" s="395"/>
      <c r="AF44" s="395"/>
      <c r="AK44" s="395"/>
      <c r="AL44" s="395"/>
      <c r="AM44" s="395"/>
      <c r="AN44" s="395"/>
      <c r="AO44" s="395"/>
      <c r="AP44" s="395"/>
      <c r="AU44" s="395"/>
    </row>
    <row r="45" spans="2:47" s="435" customFormat="1" ht="22.5">
      <c r="B45" s="434"/>
      <c r="C45" s="1608" t="s">
        <v>2039</v>
      </c>
      <c r="D45" s="1608"/>
      <c r="E45" s="1608"/>
      <c r="F45" s="1608"/>
      <c r="G45" s="1608"/>
      <c r="H45" s="1608"/>
      <c r="Q45" s="434"/>
      <c r="V45" s="434"/>
      <c r="AA45" s="434"/>
      <c r="AF45" s="434"/>
      <c r="AK45" s="434"/>
      <c r="AL45" s="434"/>
      <c r="AM45" s="434"/>
      <c r="AN45" s="434"/>
      <c r="AO45" s="434"/>
      <c r="AP45" s="434"/>
      <c r="AU45" s="434"/>
    </row>
    <row r="46" spans="2:47" s="434" customFormat="1" ht="24.6" customHeight="1">
      <c r="C46" s="205" t="s">
        <v>2022</v>
      </c>
      <c r="D46" s="205" t="s">
        <v>2023</v>
      </c>
      <c r="E46" s="205" t="s">
        <v>1993</v>
      </c>
      <c r="F46" s="205" t="s">
        <v>2003</v>
      </c>
      <c r="G46" s="205" t="s">
        <v>2004</v>
      </c>
      <c r="H46" s="205" t="s">
        <v>1996</v>
      </c>
    </row>
    <row r="47" spans="2:47" s="435" customFormat="1" ht="22.5">
      <c r="B47" s="434"/>
      <c r="C47" s="438" t="s">
        <v>1552</v>
      </c>
      <c r="D47" s="441" t="s">
        <v>1999</v>
      </c>
      <c r="E47" s="442">
        <f ca="1">Електроенергія!G6</f>
        <v>5.426952</v>
      </c>
      <c r="F47" s="442">
        <f ca="1">E47</f>
        <v>5.426952</v>
      </c>
      <c r="G47" s="442">
        <f ca="1">F47</f>
        <v>5.426952</v>
      </c>
      <c r="H47" s="442">
        <f ca="1">G47</f>
        <v>5.426952</v>
      </c>
      <c r="Q47" s="434"/>
      <c r="V47" s="434"/>
      <c r="AA47" s="434"/>
      <c r="AF47" s="434"/>
      <c r="AK47" s="434"/>
      <c r="AL47" s="434"/>
      <c r="AM47" s="434"/>
      <c r="AN47" s="434"/>
      <c r="AO47" s="434"/>
      <c r="AP47" s="434"/>
      <c r="AU47" s="434"/>
    </row>
    <row r="48" spans="2:47" s="435" customFormat="1" ht="45">
      <c r="B48" s="434"/>
      <c r="C48" s="438" t="s">
        <v>1553</v>
      </c>
      <c r="D48" s="391">
        <f>SUM(E48:H48)</f>
        <v>350000</v>
      </c>
      <c r="E48" s="392">
        <f ca="1">Електроенергія!F19</f>
        <v>101000</v>
      </c>
      <c r="F48" s="392">
        <f ca="1">Електроенергія!F20</f>
        <v>75000</v>
      </c>
      <c r="G48" s="392">
        <f ca="1">Електроенергія!F21</f>
        <v>70000</v>
      </c>
      <c r="H48" s="392">
        <f ca="1">Електроенергія!F22</f>
        <v>104000</v>
      </c>
      <c r="Q48" s="434"/>
      <c r="V48" s="434"/>
      <c r="AA48" s="434"/>
      <c r="AF48" s="434"/>
      <c r="AK48" s="434"/>
      <c r="AL48" s="434"/>
      <c r="AM48" s="434"/>
      <c r="AN48" s="434"/>
      <c r="AO48" s="434"/>
      <c r="AP48" s="434"/>
      <c r="AU48" s="434"/>
    </row>
    <row r="49" spans="1:47" s="434" customFormat="1" ht="21.75">
      <c r="A49" s="436">
        <f>B49-D49</f>
        <v>0</v>
      </c>
      <c r="B49" s="436">
        <f ca="1">Електроенергія!H23</f>
        <v>1899433.1999999997</v>
      </c>
      <c r="C49" s="440" t="s">
        <v>1556</v>
      </c>
      <c r="D49" s="443">
        <f>SUM(E49:H49)</f>
        <v>1899433.2000000002</v>
      </c>
      <c r="E49" s="444">
        <f ca="1">E47*E48</f>
        <v>548122.152</v>
      </c>
      <c r="F49" s="444">
        <f ca="1">F47*F48</f>
        <v>407021.4</v>
      </c>
      <c r="G49" s="444">
        <f ca="1">G47*G48</f>
        <v>379886.64</v>
      </c>
      <c r="H49" s="444">
        <f ca="1">H47*H48</f>
        <v>564403.00800000003</v>
      </c>
    </row>
    <row r="50" spans="1:47" s="435" customFormat="1" ht="22.5">
      <c r="B50" s="436"/>
      <c r="C50" s="438" t="s">
        <v>1554</v>
      </c>
      <c r="D50" s="441" t="s">
        <v>1999</v>
      </c>
      <c r="E50" s="442">
        <f ca="1">Електроенергія!I6</f>
        <v>1.9467480000000001</v>
      </c>
      <c r="F50" s="442">
        <f ca="1">E50</f>
        <v>1.9467480000000001</v>
      </c>
      <c r="G50" s="442">
        <f ca="1">F50</f>
        <v>1.9467480000000001</v>
      </c>
      <c r="H50" s="442">
        <f ca="1">G50</f>
        <v>1.9467480000000001</v>
      </c>
      <c r="Q50" s="434"/>
      <c r="V50" s="434"/>
      <c r="AA50" s="434"/>
      <c r="AF50" s="434"/>
      <c r="AK50" s="434"/>
      <c r="AL50" s="434"/>
      <c r="AM50" s="434"/>
      <c r="AN50" s="434"/>
      <c r="AO50" s="434"/>
      <c r="AP50" s="434"/>
      <c r="AU50" s="434"/>
    </row>
    <row r="51" spans="1:47" s="435" customFormat="1" ht="45">
      <c r="B51" s="436"/>
      <c r="C51" s="438" t="s">
        <v>1553</v>
      </c>
      <c r="D51" s="391">
        <f>SUM(E51:H51)</f>
        <v>350000</v>
      </c>
      <c r="E51" s="392">
        <f ca="1">E48</f>
        <v>101000</v>
      </c>
      <c r="F51" s="392">
        <f ca="1">F48</f>
        <v>75000</v>
      </c>
      <c r="G51" s="392">
        <f ca="1">G48</f>
        <v>70000</v>
      </c>
      <c r="H51" s="392">
        <f ca="1">H48</f>
        <v>104000</v>
      </c>
      <c r="Q51" s="434"/>
      <c r="V51" s="434"/>
      <c r="AA51" s="434"/>
      <c r="AF51" s="434"/>
      <c r="AK51" s="434"/>
      <c r="AL51" s="434"/>
      <c r="AM51" s="434"/>
      <c r="AN51" s="434"/>
      <c r="AO51" s="434"/>
      <c r="AP51" s="434"/>
      <c r="AU51" s="434"/>
    </row>
    <row r="52" spans="1:47" s="434" customFormat="1" ht="21.75">
      <c r="A52" s="436">
        <f>B52-D52</f>
        <v>0</v>
      </c>
      <c r="B52" s="436">
        <f ca="1">Електроенергія!J23</f>
        <v>681361.8</v>
      </c>
      <c r="C52" s="440" t="s">
        <v>1555</v>
      </c>
      <c r="D52" s="443">
        <f>SUM(E52:H52)</f>
        <v>681361.8</v>
      </c>
      <c r="E52" s="444">
        <f ca="1">E50*E51</f>
        <v>196621.54800000001</v>
      </c>
      <c r="F52" s="444">
        <f ca="1">F50*F51</f>
        <v>146006.1</v>
      </c>
      <c r="G52" s="444">
        <f ca="1">G50*G51</f>
        <v>136272.36000000002</v>
      </c>
      <c r="H52" s="444">
        <f ca="1">H50*H51</f>
        <v>202461.79200000002</v>
      </c>
    </row>
    <row r="53" spans="1:47" s="435" customFormat="1" ht="22.5">
      <c r="A53" s="436"/>
      <c r="B53" s="437"/>
      <c r="C53" s="438" t="s">
        <v>1795</v>
      </c>
      <c r="D53" s="441" t="s">
        <v>1999</v>
      </c>
      <c r="E53" s="445">
        <f ca="1">Електроенергія!L19</f>
        <v>3700</v>
      </c>
      <c r="F53" s="445">
        <f ca="1">Електроенергія!L20</f>
        <v>1500</v>
      </c>
      <c r="G53" s="445">
        <f ca="1">Електроенергія!L21</f>
        <v>1400</v>
      </c>
      <c r="H53" s="445">
        <f ca="1">Електроенергія!L22</f>
        <v>4400</v>
      </c>
    </row>
    <row r="54" spans="1:47" s="435" customFormat="1" ht="45">
      <c r="A54" s="436"/>
      <c r="B54" s="437"/>
      <c r="C54" s="438" t="s">
        <v>1640</v>
      </c>
      <c r="D54" s="446">
        <f>SUM(E54:H54)</f>
        <v>4</v>
      </c>
      <c r="E54" s="442">
        <v>1</v>
      </c>
      <c r="F54" s="392">
        <v>1</v>
      </c>
      <c r="G54" s="392">
        <v>1</v>
      </c>
      <c r="H54" s="392">
        <v>1</v>
      </c>
    </row>
    <row r="55" spans="1:47" s="434" customFormat="1" ht="21.75">
      <c r="A55" s="436">
        <f>B55-D55</f>
        <v>0</v>
      </c>
      <c r="B55" s="436">
        <f ca="1">Електроенергія!L23</f>
        <v>11000</v>
      </c>
      <c r="C55" s="440" t="s">
        <v>1796</v>
      </c>
      <c r="D55" s="443">
        <f>SUM(E55:H55)</f>
        <v>11000</v>
      </c>
      <c r="E55" s="447">
        <f>E53*E54</f>
        <v>3700</v>
      </c>
      <c r="F55" s="444">
        <f>F53*F54</f>
        <v>1500</v>
      </c>
      <c r="G55" s="444">
        <f>G53*G54</f>
        <v>1400</v>
      </c>
      <c r="H55" s="444">
        <f>H53*H54</f>
        <v>4400</v>
      </c>
    </row>
    <row r="56" spans="1:47" s="434" customFormat="1" ht="21.75">
      <c r="A56" s="436">
        <f>B56-D56</f>
        <v>0</v>
      </c>
      <c r="B56" s="1115">
        <f ca="1">Електроенергія!M23</f>
        <v>2591795</v>
      </c>
      <c r="C56" s="440" t="s">
        <v>2030</v>
      </c>
      <c r="D56" s="443">
        <f>SUM(E56:H56)</f>
        <v>2591795</v>
      </c>
      <c r="E56" s="444">
        <f>E55+E49+E52</f>
        <v>748443.7</v>
      </c>
      <c r="F56" s="444">
        <f>F55+F49+F52</f>
        <v>554527.5</v>
      </c>
      <c r="G56" s="444">
        <f>G55+G49+G52</f>
        <v>517559</v>
      </c>
      <c r="H56" s="444">
        <f>H55+H49+H52</f>
        <v>771264.8</v>
      </c>
    </row>
    <row r="57" spans="1:47" s="435" customFormat="1" ht="22.5">
      <c r="B57" s="434"/>
      <c r="C57" s="438"/>
      <c r="D57" s="391"/>
      <c r="E57" s="392"/>
      <c r="F57" s="392"/>
      <c r="G57" s="392"/>
      <c r="H57" s="392"/>
      <c r="Q57" s="434"/>
      <c r="V57" s="434"/>
      <c r="AA57" s="434"/>
      <c r="AF57" s="434"/>
      <c r="AK57" s="434"/>
      <c r="AL57" s="434"/>
      <c r="AM57" s="434"/>
      <c r="AN57" s="434"/>
      <c r="AO57" s="434"/>
      <c r="AP57" s="434"/>
      <c r="AU57" s="434"/>
    </row>
    <row r="58" spans="1:47" s="394" customFormat="1" ht="22.5">
      <c r="B58" s="395"/>
      <c r="C58" s="1608" t="s">
        <v>2040</v>
      </c>
      <c r="D58" s="1608"/>
      <c r="E58" s="1608"/>
      <c r="F58" s="1608"/>
      <c r="G58" s="1608"/>
      <c r="H58" s="1608"/>
      <c r="I58" s="435"/>
      <c r="Q58" s="395"/>
      <c r="V58" s="395"/>
      <c r="AA58" s="395"/>
      <c r="AF58" s="395"/>
      <c r="AK58" s="395"/>
      <c r="AL58" s="395"/>
      <c r="AM58" s="395"/>
      <c r="AN58" s="395"/>
      <c r="AO58" s="395"/>
      <c r="AP58" s="395"/>
      <c r="AU58" s="395"/>
    </row>
    <row r="59" spans="1:47" s="394" customFormat="1" ht="24.6" customHeight="1">
      <c r="B59" s="395"/>
      <c r="C59" s="441" t="s">
        <v>2022</v>
      </c>
      <c r="D59" s="205" t="s">
        <v>2023</v>
      </c>
      <c r="E59" s="205" t="s">
        <v>1993</v>
      </c>
      <c r="F59" s="205" t="s">
        <v>2003</v>
      </c>
      <c r="G59" s="205" t="s">
        <v>2004</v>
      </c>
      <c r="H59" s="205" t="s">
        <v>1996</v>
      </c>
      <c r="I59" s="435"/>
      <c r="Q59" s="395"/>
      <c r="V59" s="395"/>
      <c r="AA59" s="395"/>
      <c r="AF59" s="395"/>
      <c r="AK59" s="395"/>
      <c r="AL59" s="395"/>
      <c r="AM59" s="395"/>
      <c r="AN59" s="395"/>
      <c r="AO59" s="395"/>
      <c r="AP59" s="395"/>
      <c r="AU59" s="395"/>
    </row>
    <row r="60" spans="1:47" s="394" customFormat="1" ht="25.5">
      <c r="B60" s="395"/>
      <c r="C60" s="438" t="s">
        <v>1769</v>
      </c>
      <c r="D60" s="392" t="s">
        <v>1999</v>
      </c>
      <c r="E60" s="392">
        <v>0</v>
      </c>
      <c r="F60" s="392">
        <v>0</v>
      </c>
      <c r="G60" s="392">
        <v>0</v>
      </c>
      <c r="H60" s="392">
        <v>0</v>
      </c>
      <c r="I60" s="435"/>
      <c r="Q60" s="395"/>
      <c r="V60" s="395"/>
      <c r="AA60" s="395"/>
      <c r="AF60" s="395"/>
      <c r="AK60" s="395"/>
      <c r="AL60" s="395"/>
      <c r="AM60" s="395"/>
      <c r="AN60" s="395"/>
      <c r="AO60" s="395"/>
      <c r="AP60" s="395"/>
      <c r="AU60" s="395"/>
    </row>
    <row r="61" spans="1:47" s="394" customFormat="1" ht="48">
      <c r="B61" s="395"/>
      <c r="C61" s="438" t="s">
        <v>1770</v>
      </c>
      <c r="D61" s="448">
        <f>SUM(E61:H61)</f>
        <v>0</v>
      </c>
      <c r="E61" s="392">
        <v>0</v>
      </c>
      <c r="F61" s="392">
        <v>0</v>
      </c>
      <c r="G61" s="392">
        <v>0</v>
      </c>
      <c r="H61" s="392">
        <v>0</v>
      </c>
      <c r="I61" s="435"/>
      <c r="Q61" s="395"/>
      <c r="V61" s="395"/>
      <c r="AA61" s="395"/>
      <c r="AF61" s="395"/>
      <c r="AK61" s="395"/>
      <c r="AL61" s="395"/>
      <c r="AM61" s="395"/>
      <c r="AN61" s="395"/>
      <c r="AO61" s="395"/>
      <c r="AP61" s="395"/>
      <c r="AU61" s="395"/>
    </row>
    <row r="62" spans="1:47" s="394" customFormat="1" ht="22.5">
      <c r="B62" s="395"/>
      <c r="C62" s="440" t="s">
        <v>2031</v>
      </c>
      <c r="D62" s="448">
        <f>SUM(E62:H62)</f>
        <v>0</v>
      </c>
      <c r="E62" s="439">
        <f>E60*E61</f>
        <v>0</v>
      </c>
      <c r="F62" s="439">
        <f>F60*F61</f>
        <v>0</v>
      </c>
      <c r="G62" s="439">
        <f>G60*G61</f>
        <v>0</v>
      </c>
      <c r="H62" s="439">
        <f>H60*H61</f>
        <v>0</v>
      </c>
      <c r="I62" s="435"/>
      <c r="Q62" s="395"/>
      <c r="V62" s="395"/>
      <c r="AA62" s="395"/>
      <c r="AF62" s="395"/>
      <c r="AK62" s="395"/>
      <c r="AL62" s="395"/>
      <c r="AM62" s="395"/>
      <c r="AN62" s="395"/>
      <c r="AO62" s="395"/>
      <c r="AP62" s="395"/>
      <c r="AU62" s="395"/>
    </row>
    <row r="63" spans="1:47" s="394" customFormat="1" ht="22.5">
      <c r="B63" s="395"/>
      <c r="C63" s="449"/>
      <c r="D63" s="449"/>
      <c r="E63" s="449"/>
      <c r="F63" s="449"/>
      <c r="G63" s="449"/>
      <c r="H63" s="449"/>
      <c r="I63" s="435"/>
      <c r="Q63" s="395"/>
      <c r="V63" s="395"/>
      <c r="AA63" s="395"/>
      <c r="AF63" s="395"/>
      <c r="AK63" s="395"/>
      <c r="AL63" s="395"/>
      <c r="AM63" s="395"/>
      <c r="AN63" s="395"/>
      <c r="AO63" s="395"/>
      <c r="AP63" s="395"/>
      <c r="AU63" s="395"/>
    </row>
    <row r="64" spans="1:47" s="394" customFormat="1" ht="22.5">
      <c r="B64" s="395"/>
      <c r="C64" s="450" t="s">
        <v>1771</v>
      </c>
      <c r="D64" s="413">
        <f>D37+D40+D43+D56+D62+D31</f>
        <v>2591795</v>
      </c>
      <c r="E64" s="413">
        <f>E37+E40+E43+E56+E62+E31</f>
        <v>748443.7</v>
      </c>
      <c r="F64" s="413">
        <f>F37+F40+F43+F56+F62+F31</f>
        <v>554527.5</v>
      </c>
      <c r="G64" s="413">
        <f>G37+G40+G43+G56+G62+G31</f>
        <v>517559</v>
      </c>
      <c r="H64" s="413">
        <f>H37+H40+H43+H56+H62+H31</f>
        <v>771264.8</v>
      </c>
      <c r="I64" s="435"/>
      <c r="Q64" s="395"/>
      <c r="V64" s="395"/>
      <c r="AA64" s="395"/>
      <c r="AF64" s="395"/>
      <c r="AK64" s="395"/>
      <c r="AL64" s="395"/>
      <c r="AM64" s="395"/>
      <c r="AN64" s="395"/>
      <c r="AO64" s="395"/>
      <c r="AP64" s="395"/>
      <c r="AU64" s="395"/>
    </row>
    <row r="65" spans="1:47" s="394" customFormat="1" ht="22.5">
      <c r="B65" s="395"/>
      <c r="C65" s="450" t="s">
        <v>1949</v>
      </c>
      <c r="D65" s="413">
        <f>SUM(E65:H65)</f>
        <v>3700526.4</v>
      </c>
      <c r="E65" s="413">
        <f>E76+E77</f>
        <v>1805351.3802197801</v>
      </c>
      <c r="F65" s="413">
        <f>F76+F77</f>
        <v>321834.89670329669</v>
      </c>
      <c r="G65" s="413">
        <f>G76+G77</f>
        <v>25131.599999999999</v>
      </c>
      <c r="H65" s="413">
        <f>H76+H77</f>
        <v>1548208.5230769231</v>
      </c>
      <c r="I65" s="435"/>
      <c r="Q65" s="395"/>
      <c r="V65" s="395"/>
      <c r="AA65" s="395"/>
      <c r="AF65" s="395"/>
      <c r="AK65" s="395"/>
      <c r="AL65" s="395"/>
      <c r="AM65" s="395"/>
      <c r="AN65" s="395"/>
      <c r="AO65" s="395"/>
      <c r="AP65" s="395"/>
      <c r="AU65" s="395"/>
    </row>
    <row r="66" spans="1:47" s="394" customFormat="1" ht="22.5">
      <c r="B66" s="395"/>
      <c r="C66" s="450" t="s">
        <v>1771</v>
      </c>
      <c r="D66" s="451">
        <f>D64+D65</f>
        <v>6292321.4000000004</v>
      </c>
      <c r="E66" s="413">
        <f>E64+E65</f>
        <v>2553795.0802197801</v>
      </c>
      <c r="F66" s="413">
        <f>F64+F65</f>
        <v>876362.39670329669</v>
      </c>
      <c r="G66" s="413">
        <f>G64+G65</f>
        <v>542690.6</v>
      </c>
      <c r="H66" s="413">
        <f>H64+H65</f>
        <v>2319473.3230769234</v>
      </c>
      <c r="I66" s="435"/>
      <c r="Q66" s="395"/>
      <c r="V66" s="395"/>
      <c r="AA66" s="395"/>
      <c r="AF66" s="395"/>
      <c r="AK66" s="395"/>
      <c r="AL66" s="395"/>
      <c r="AM66" s="395"/>
      <c r="AN66" s="395"/>
      <c r="AO66" s="395"/>
      <c r="AP66" s="395"/>
      <c r="AU66" s="395"/>
    </row>
    <row r="67" spans="1:47" s="394" customFormat="1" ht="22.5">
      <c r="B67" s="395"/>
      <c r="D67" s="452">
        <f ca="1">Деталізація!S22</f>
        <v>6292321.4000000004</v>
      </c>
      <c r="E67" s="453"/>
      <c r="F67" s="453"/>
      <c r="G67" s="453"/>
      <c r="H67" s="453"/>
      <c r="I67" s="435"/>
      <c r="Q67" s="395"/>
      <c r="V67" s="395"/>
      <c r="AA67" s="395"/>
      <c r="AF67" s="395"/>
      <c r="AK67" s="395"/>
      <c r="AL67" s="395"/>
      <c r="AM67" s="395"/>
      <c r="AN67" s="395"/>
      <c r="AO67" s="395"/>
      <c r="AP67" s="395"/>
      <c r="AU67" s="395"/>
    </row>
    <row r="68" spans="1:47" s="394" customFormat="1" ht="22.5">
      <c r="B68" s="395"/>
      <c r="D68" s="452">
        <f>D66-D67</f>
        <v>0</v>
      </c>
      <c r="I68" s="435"/>
      <c r="Q68" s="395"/>
      <c r="V68" s="395"/>
      <c r="AA68" s="395"/>
      <c r="AF68" s="395"/>
      <c r="AK68" s="395"/>
      <c r="AL68" s="395"/>
      <c r="AM68" s="395"/>
      <c r="AN68" s="395"/>
      <c r="AO68" s="395"/>
      <c r="AP68" s="395"/>
      <c r="AU68" s="395"/>
    </row>
    <row r="69" spans="1:47" s="394" customFormat="1" ht="22.9" customHeight="1">
      <c r="B69" s="395"/>
      <c r="C69" s="1613" t="s">
        <v>1823</v>
      </c>
      <c r="D69" s="1613"/>
      <c r="E69" s="1613"/>
      <c r="F69" s="1613"/>
      <c r="G69" s="1613"/>
      <c r="H69" s="1613"/>
      <c r="I69" s="435"/>
      <c r="Q69" s="395"/>
      <c r="V69" s="395"/>
      <c r="AA69" s="395"/>
      <c r="AF69" s="395"/>
      <c r="AK69" s="395"/>
      <c r="AL69" s="395"/>
      <c r="AM69" s="395"/>
      <c r="AN69" s="395"/>
      <c r="AO69" s="395"/>
      <c r="AP69" s="395"/>
      <c r="AU69" s="395"/>
    </row>
    <row r="70" spans="1:47" s="394" customFormat="1" ht="22.5">
      <c r="B70" s="395"/>
      <c r="I70" s="435"/>
      <c r="Q70" s="395"/>
      <c r="V70" s="395"/>
      <c r="AA70" s="395"/>
      <c r="AF70" s="395"/>
      <c r="AK70" s="395"/>
      <c r="AL70" s="395"/>
      <c r="AM70" s="395"/>
      <c r="AN70" s="395"/>
      <c r="AO70" s="395"/>
      <c r="AP70" s="395"/>
      <c r="AU70" s="395"/>
    </row>
    <row r="71" spans="1:47" s="435" customFormat="1" ht="22.5">
      <c r="A71" s="1452" t="s">
        <v>1772</v>
      </c>
      <c r="B71" s="205" t="s">
        <v>2023</v>
      </c>
      <c r="C71" s="441" t="s">
        <v>2022</v>
      </c>
      <c r="D71" s="205" t="s">
        <v>2023</v>
      </c>
      <c r="E71" s="205" t="s">
        <v>1993</v>
      </c>
      <c r="F71" s="205" t="s">
        <v>2003</v>
      </c>
      <c r="G71" s="205" t="s">
        <v>2004</v>
      </c>
      <c r="H71" s="205" t="s">
        <v>1996</v>
      </c>
      <c r="I71" s="1614" t="s">
        <v>2059</v>
      </c>
      <c r="J71" s="1614"/>
      <c r="K71" s="1614"/>
      <c r="L71" s="1614"/>
      <c r="Q71" s="434"/>
      <c r="V71" s="434"/>
      <c r="AA71" s="434"/>
      <c r="AF71" s="434"/>
      <c r="AK71" s="434"/>
      <c r="AL71" s="434"/>
      <c r="AM71" s="434"/>
      <c r="AN71" s="434"/>
      <c r="AO71" s="434"/>
      <c r="AP71" s="434"/>
      <c r="AU71" s="434"/>
    </row>
    <row r="72" spans="1:47" s="435" customFormat="1" ht="43.5" customHeight="1">
      <c r="A72" s="443">
        <f>B72-D72</f>
        <v>0</v>
      </c>
      <c r="B72" s="391">
        <f ca="1">'!!! ФІНАНСОВИЙ ПЛАН 2023 !!!'!G58</f>
        <v>4862005.3422999997</v>
      </c>
      <c r="C72" s="393" t="s">
        <v>1945</v>
      </c>
      <c r="D72" s="391">
        <f t="shared" ref="D72:D83" si="19">SUM(E72:H72)</f>
        <v>4862005.3422999997</v>
      </c>
      <c r="E72" s="392">
        <f ca="1">Деталізація!O11+Деталізація!O13+Деталізація!O14+Деталізація!O15+Деталізація!O16</f>
        <v>1215501.3355749999</v>
      </c>
      <c r="F72" s="392">
        <f ca="1">Деталізація!P11+Деталізація!P13+Деталізація!P14+Деталізація!P15+Деталізація!P16</f>
        <v>1215501.3355749999</v>
      </c>
      <c r="G72" s="392">
        <f ca="1">Деталізація!Q11+Деталізація!Q13+Деталізація!Q14+Деталізація!Q15+Деталізація!Q16</f>
        <v>1215501.3355749999</v>
      </c>
      <c r="H72" s="392">
        <f ca="1">Деталізація!R11+Деталізація!R13+Деталізація!R14+Деталізація!R15+Деталізація!R16</f>
        <v>1215501.3355749999</v>
      </c>
      <c r="I72" s="1607" t="s">
        <v>1774</v>
      </c>
      <c r="J72" s="1607"/>
      <c r="K72" s="1607"/>
      <c r="L72" s="1607"/>
      <c r="M72" s="1518"/>
      <c r="Q72" s="434"/>
      <c r="V72" s="434"/>
      <c r="AA72" s="434"/>
      <c r="AF72" s="434"/>
      <c r="AK72" s="434"/>
      <c r="AL72" s="434"/>
      <c r="AM72" s="434"/>
      <c r="AN72" s="434"/>
      <c r="AO72" s="434"/>
      <c r="AP72" s="434"/>
      <c r="AU72" s="434"/>
    </row>
    <row r="73" spans="1:47" s="435" customFormat="1" ht="22.5">
      <c r="A73" s="391">
        <f t="shared" ref="A73:A99" si="20">B73-D73</f>
        <v>0</v>
      </c>
      <c r="B73" s="391">
        <f ca="1">'!!! ФІНАНСОВИЙ ПЛАН 2023 !!!'!G59</f>
        <v>994326</v>
      </c>
      <c r="C73" s="393" t="s">
        <v>1946</v>
      </c>
      <c r="D73" s="391">
        <f t="shared" si="19"/>
        <v>994326</v>
      </c>
      <c r="E73" s="392">
        <f ca="1">Деталізація!O18</f>
        <v>248581.5</v>
      </c>
      <c r="F73" s="392">
        <f ca="1">Деталізація!P18</f>
        <v>248581.5</v>
      </c>
      <c r="G73" s="392">
        <f ca="1">Деталізація!Q18</f>
        <v>248581.5</v>
      </c>
      <c r="H73" s="392">
        <f ca="1">Деталізація!R18</f>
        <v>248581.5</v>
      </c>
      <c r="I73" s="1607" t="s">
        <v>1775</v>
      </c>
      <c r="J73" s="1607"/>
      <c r="K73" s="1607"/>
      <c r="L73" s="1607"/>
      <c r="M73" s="1518"/>
      <c r="Q73" s="434"/>
      <c r="V73" s="434"/>
      <c r="AA73" s="434"/>
      <c r="AF73" s="434"/>
      <c r="AK73" s="434"/>
      <c r="AL73" s="434"/>
      <c r="AM73" s="434"/>
      <c r="AN73" s="434"/>
      <c r="AO73" s="434"/>
      <c r="AP73" s="434"/>
      <c r="AU73" s="434"/>
    </row>
    <row r="74" spans="1:47" s="435" customFormat="1" ht="22.5">
      <c r="A74" s="391">
        <f t="shared" si="20"/>
        <v>0</v>
      </c>
      <c r="B74" s="391">
        <f ca="1">'!!! ФІНАНСОВИЙ ПЛАН 2023 !!!'!G60+'!!! ФІНАНСОВИЙ ПЛАН 2023 !!!'!G76</f>
        <v>1243993.6599999999</v>
      </c>
      <c r="C74" s="393" t="s">
        <v>1947</v>
      </c>
      <c r="D74" s="391">
        <f>SUM(E74:H74)</f>
        <v>1243993.6599999999</v>
      </c>
      <c r="E74" s="392">
        <f ca="1">Деталізація!O25+Деталізація!O33-Деталізація!O34</f>
        <v>318800.25</v>
      </c>
      <c r="F74" s="392">
        <f ca="1">Деталізація!P25+Деталізація!P33-Деталізація!P34</f>
        <v>333043.92000000004</v>
      </c>
      <c r="G74" s="392">
        <f ca="1">Деталізація!Q25+Деталізація!Q33-Деталізація!Q34</f>
        <v>344694.72</v>
      </c>
      <c r="H74" s="392">
        <f ca="1">Деталізація!R25+Деталізація!R33-Деталізація!R34</f>
        <v>247454.77</v>
      </c>
      <c r="I74" s="1607" t="s">
        <v>1776</v>
      </c>
      <c r="J74" s="1607"/>
      <c r="K74" s="1607"/>
      <c r="L74" s="1607"/>
      <c r="M74" s="1518"/>
      <c r="Q74" s="434"/>
      <c r="V74" s="434"/>
      <c r="AA74" s="434"/>
      <c r="AF74" s="434"/>
      <c r="AK74" s="434"/>
      <c r="AL74" s="434"/>
      <c r="AM74" s="434"/>
      <c r="AN74" s="434"/>
      <c r="AO74" s="434"/>
      <c r="AP74" s="434"/>
      <c r="AU74" s="434"/>
    </row>
    <row r="75" spans="1:47" s="435" customFormat="1" ht="22.5">
      <c r="A75" s="391">
        <f t="shared" si="20"/>
        <v>0</v>
      </c>
      <c r="B75" s="391">
        <f ca="1">'!!! ФІНАНСОВИЙ ПЛАН 2023 !!!'!G61</f>
        <v>10000</v>
      </c>
      <c r="C75" s="1451" t="s">
        <v>1948</v>
      </c>
      <c r="D75" s="391">
        <f>SUM(E75:H75)</f>
        <v>10000</v>
      </c>
      <c r="E75" s="442">
        <f ca="1">Деталізація!O34</f>
        <v>10000</v>
      </c>
      <c r="F75" s="442">
        <f ca="1">Деталізація!P34</f>
        <v>0</v>
      </c>
      <c r="G75" s="442">
        <f ca="1">Деталізація!Q34</f>
        <v>0</v>
      </c>
      <c r="H75" s="442">
        <f ca="1">Деталізація!R34</f>
        <v>0</v>
      </c>
      <c r="I75" s="1607" t="s">
        <v>448</v>
      </c>
      <c r="J75" s="1607"/>
      <c r="K75" s="1607"/>
      <c r="L75" s="1607"/>
      <c r="M75" s="1518"/>
      <c r="Q75" s="434"/>
      <c r="V75" s="434"/>
      <c r="AA75" s="434"/>
      <c r="AF75" s="434"/>
      <c r="AK75" s="434"/>
      <c r="AL75" s="434"/>
      <c r="AM75" s="434"/>
      <c r="AN75" s="434"/>
      <c r="AO75" s="434"/>
      <c r="AP75" s="434"/>
      <c r="AU75" s="434"/>
    </row>
    <row r="76" spans="1:47" s="435" customFormat="1" ht="22.5">
      <c r="A76" s="391">
        <f>B76-D76-D56</f>
        <v>0</v>
      </c>
      <c r="B76" s="391">
        <f ca="1">'!!! ФІНАНСОВИЙ ПЛАН 2023 !!!'!G62-B77</f>
        <v>6191795</v>
      </c>
      <c r="C76" s="393" t="s">
        <v>1949</v>
      </c>
      <c r="D76" s="391">
        <f t="shared" si="19"/>
        <v>3600000</v>
      </c>
      <c r="E76" s="392">
        <f ca="1">Енергоносії!O15</f>
        <v>1780219.78021978</v>
      </c>
      <c r="F76" s="392">
        <f ca="1">Енергоносії!P15</f>
        <v>296703.29670329671</v>
      </c>
      <c r="G76" s="392">
        <f ca="1">Енергоносії!Q15</f>
        <v>0</v>
      </c>
      <c r="H76" s="392">
        <f ca="1">Енергоносії!R15</f>
        <v>1523076.923076923</v>
      </c>
      <c r="I76" s="1607" t="s">
        <v>1777</v>
      </c>
      <c r="J76" s="1607"/>
      <c r="K76" s="1607"/>
      <c r="L76" s="1607"/>
      <c r="M76" s="1518"/>
      <c r="O76" s="727"/>
      <c r="Q76" s="434"/>
      <c r="V76" s="434"/>
      <c r="AA76" s="434"/>
      <c r="AF76" s="434"/>
      <c r="AK76" s="434"/>
      <c r="AL76" s="434"/>
      <c r="AM76" s="434"/>
      <c r="AN76" s="434"/>
      <c r="AO76" s="434"/>
      <c r="AP76" s="434"/>
      <c r="AU76" s="434"/>
    </row>
    <row r="77" spans="1:47" s="435" customFormat="1" ht="22.5">
      <c r="A77" s="391">
        <f t="shared" si="20"/>
        <v>0</v>
      </c>
      <c r="B77" s="391">
        <f ca="1">Енергоносії!S16</f>
        <v>100526.39999999999</v>
      </c>
      <c r="C77" s="393" t="s">
        <v>1949</v>
      </c>
      <c r="D77" s="391">
        <f>SUM(E77:H77)</f>
        <v>100526.39999999999</v>
      </c>
      <c r="E77" s="392">
        <f ca="1">Енергоносії!O16</f>
        <v>25131.599999999999</v>
      </c>
      <c r="F77" s="392">
        <f ca="1">Енергоносії!P16</f>
        <v>25131.599999999999</v>
      </c>
      <c r="G77" s="392">
        <f ca="1">Енергоносії!Q16</f>
        <v>25131.599999999999</v>
      </c>
      <c r="H77" s="392">
        <f ca="1">Енергоносії!R16</f>
        <v>25131.599999999999</v>
      </c>
      <c r="I77" s="1607" t="s">
        <v>1778</v>
      </c>
      <c r="J77" s="1607"/>
      <c r="K77" s="1607"/>
      <c r="L77" s="1607"/>
      <c r="M77" s="1518"/>
      <c r="O77" s="727"/>
      <c r="Q77" s="434"/>
      <c r="V77" s="434"/>
      <c r="AA77" s="434"/>
      <c r="AF77" s="434"/>
      <c r="AK77" s="434"/>
      <c r="AL77" s="434"/>
      <c r="AM77" s="434"/>
      <c r="AN77" s="434"/>
      <c r="AO77" s="434"/>
      <c r="AP77" s="434"/>
      <c r="AU77" s="434"/>
    </row>
    <row r="78" spans="1:47" s="435" customFormat="1" ht="22.5">
      <c r="A78" s="391">
        <f t="shared" si="20"/>
        <v>0</v>
      </c>
      <c r="B78" s="391"/>
      <c r="C78" s="393" t="s">
        <v>1950</v>
      </c>
      <c r="D78" s="391">
        <f t="shared" si="19"/>
        <v>0</v>
      </c>
      <c r="E78" s="392">
        <v>0</v>
      </c>
      <c r="F78" s="392">
        <v>0</v>
      </c>
      <c r="G78" s="392">
        <v>0</v>
      </c>
      <c r="H78" s="392">
        <v>0</v>
      </c>
      <c r="I78" s="1607" t="s">
        <v>1999</v>
      </c>
      <c r="J78" s="1607"/>
      <c r="K78" s="1607"/>
      <c r="L78" s="1607"/>
      <c r="M78" s="1518"/>
      <c r="Q78" s="434"/>
      <c r="V78" s="434"/>
      <c r="AA78" s="434"/>
      <c r="AF78" s="434"/>
      <c r="AK78" s="434"/>
      <c r="AL78" s="434"/>
      <c r="AM78" s="434"/>
      <c r="AN78" s="434"/>
      <c r="AO78" s="434"/>
      <c r="AP78" s="434"/>
      <c r="AU78" s="434"/>
    </row>
    <row r="79" spans="1:47" s="435" customFormat="1" ht="45">
      <c r="A79" s="391">
        <f t="shared" si="20"/>
        <v>0</v>
      </c>
      <c r="B79" s="391"/>
      <c r="C79" s="393" t="s">
        <v>1951</v>
      </c>
      <c r="D79" s="391">
        <f t="shared" si="19"/>
        <v>0</v>
      </c>
      <c r="E79" s="392">
        <v>0</v>
      </c>
      <c r="F79" s="392">
        <v>0</v>
      </c>
      <c r="G79" s="392">
        <v>0</v>
      </c>
      <c r="H79" s="392">
        <v>0</v>
      </c>
      <c r="I79" s="1607" t="s">
        <v>2060</v>
      </c>
      <c r="J79" s="1607"/>
      <c r="K79" s="1607"/>
      <c r="L79" s="1607"/>
      <c r="Q79" s="434"/>
      <c r="V79" s="434"/>
      <c r="AA79" s="434"/>
      <c r="AF79" s="434"/>
      <c r="AK79" s="434"/>
      <c r="AL79" s="434"/>
      <c r="AM79" s="434"/>
      <c r="AN79" s="434"/>
      <c r="AO79" s="434"/>
      <c r="AP79" s="434"/>
      <c r="AU79" s="434"/>
    </row>
    <row r="80" spans="1:47" s="435" customFormat="1" ht="22.5">
      <c r="A80" s="391">
        <f t="shared" si="20"/>
        <v>0</v>
      </c>
      <c r="B80" s="391">
        <f ca="1">'!!! ФІНАНСОВИЙ ПЛАН 2023 !!!'!G70</f>
        <v>72000</v>
      </c>
      <c r="C80" s="393" t="s">
        <v>1952</v>
      </c>
      <c r="D80" s="391">
        <f t="shared" si="19"/>
        <v>72000</v>
      </c>
      <c r="E80" s="392">
        <f>6000*3</f>
        <v>18000</v>
      </c>
      <c r="F80" s="392">
        <f>E80</f>
        <v>18000</v>
      </c>
      <c r="G80" s="392">
        <f>F80</f>
        <v>18000</v>
      </c>
      <c r="H80" s="392">
        <f>G80</f>
        <v>18000</v>
      </c>
      <c r="I80" s="1607" t="s">
        <v>908</v>
      </c>
      <c r="J80" s="1607"/>
      <c r="K80" s="1607"/>
      <c r="L80" s="1607"/>
      <c r="Q80" s="434"/>
      <c r="V80" s="434"/>
      <c r="AA80" s="434"/>
      <c r="AF80" s="434"/>
      <c r="AK80" s="434"/>
      <c r="AL80" s="434"/>
      <c r="AM80" s="434"/>
      <c r="AN80" s="434"/>
      <c r="AO80" s="434"/>
      <c r="AP80" s="434"/>
      <c r="AU80" s="434"/>
    </row>
    <row r="81" spans="1:47" s="435" customFormat="1" ht="57" customHeight="1">
      <c r="A81" s="443">
        <f t="shared" si="20"/>
        <v>0</v>
      </c>
      <c r="B81" s="391">
        <f ca="1">'!!! ФІНАНСОВИЙ ПЛАН 2023 !!!'!G71+'!!! ФІНАНСОВИЙ ПЛАН 2023 !!!'!G57</f>
        <v>1261222</v>
      </c>
      <c r="C81" s="393" t="s">
        <v>1780</v>
      </c>
      <c r="D81" s="391">
        <f>SUM(E81:H81)</f>
        <v>1261222</v>
      </c>
      <c r="E81" s="392">
        <f ca="1">Деталізація!O17+Деталізація!O19+Деталізація!O20+Деталізація!O21+Деталізація!O23+Деталізація!O24</f>
        <v>319790</v>
      </c>
      <c r="F81" s="392">
        <f ca="1">Деталізація!P17+Деталізація!P19+Деталізація!P20+Деталізація!P21+Деталізація!P23+Деталізація!P24</f>
        <v>295724</v>
      </c>
      <c r="G81" s="392">
        <f ca="1">Деталізація!Q17+Деталізація!Q19+Деталізація!Q20+Деталізація!Q21+Деталізація!Q23+Деталізація!Q24</f>
        <v>339293</v>
      </c>
      <c r="H81" s="392">
        <f ca="1">Деталізація!R17+Деталізація!R19+Деталізація!R20+Деталізація!R21+Деталізація!R23+Деталізація!R24</f>
        <v>306415</v>
      </c>
      <c r="I81" s="1607" t="s">
        <v>1779</v>
      </c>
      <c r="J81" s="1607"/>
      <c r="K81" s="1607"/>
      <c r="L81" s="1607"/>
      <c r="Q81" s="434"/>
      <c r="V81" s="434"/>
      <c r="AA81" s="434"/>
      <c r="AF81" s="434"/>
      <c r="AK81" s="434"/>
      <c r="AL81" s="434"/>
      <c r="AM81" s="434"/>
      <c r="AN81" s="434"/>
      <c r="AO81" s="434"/>
      <c r="AP81" s="434"/>
      <c r="AU81" s="434"/>
    </row>
    <row r="82" spans="1:47" s="435" customFormat="1" ht="22.5">
      <c r="A82" s="391">
        <f t="shared" si="20"/>
        <v>0</v>
      </c>
      <c r="B82" s="391"/>
      <c r="C82" s="393" t="s">
        <v>1745</v>
      </c>
      <c r="D82" s="391">
        <f>SUM(E82:H82)</f>
        <v>0</v>
      </c>
      <c r="E82" s="392"/>
      <c r="F82" s="392"/>
      <c r="G82" s="392"/>
      <c r="H82" s="392"/>
      <c r="I82" s="1607"/>
      <c r="J82" s="1607"/>
      <c r="K82" s="1607"/>
      <c r="L82" s="1607"/>
      <c r="Q82" s="434"/>
      <c r="V82" s="434"/>
      <c r="AA82" s="434"/>
      <c r="AF82" s="434"/>
      <c r="AK82" s="434"/>
      <c r="AL82" s="434"/>
      <c r="AM82" s="434"/>
      <c r="AN82" s="434"/>
      <c r="AO82" s="434"/>
      <c r="AP82" s="434"/>
      <c r="AU82" s="434"/>
    </row>
    <row r="83" spans="1:47" s="435" customFormat="1" ht="22.5">
      <c r="A83" s="391">
        <f t="shared" si="20"/>
        <v>0</v>
      </c>
      <c r="B83" s="391"/>
      <c r="C83" s="393" t="s">
        <v>1955</v>
      </c>
      <c r="D83" s="391">
        <f t="shared" si="19"/>
        <v>0</v>
      </c>
      <c r="E83" s="392"/>
      <c r="F83" s="392"/>
      <c r="G83" s="392"/>
      <c r="H83" s="392"/>
      <c r="I83" s="1607" t="s">
        <v>2061</v>
      </c>
      <c r="J83" s="1607"/>
      <c r="K83" s="1607"/>
      <c r="L83" s="1607"/>
      <c r="Q83" s="434"/>
      <c r="V83" s="434"/>
      <c r="AA83" s="434"/>
      <c r="AF83" s="434"/>
      <c r="AK83" s="434"/>
      <c r="AL83" s="434"/>
      <c r="AM83" s="434"/>
      <c r="AN83" s="434"/>
      <c r="AO83" s="434"/>
      <c r="AP83" s="434"/>
      <c r="AU83" s="434"/>
    </row>
    <row r="84" spans="1:47" s="434" customFormat="1" ht="45.75" customHeight="1">
      <c r="A84" s="443">
        <f t="shared" si="20"/>
        <v>0</v>
      </c>
      <c r="B84" s="443">
        <f>35500000*0.005</f>
        <v>177500</v>
      </c>
      <c r="C84" s="1221" t="s">
        <v>2069</v>
      </c>
      <c r="D84" s="443">
        <f>(35500000)*0.005</f>
        <v>177500</v>
      </c>
      <c r="E84" s="444">
        <f>$D$84/4</f>
        <v>44375</v>
      </c>
      <c r="F84" s="444">
        <f>$D$84/4</f>
        <v>44375</v>
      </c>
      <c r="G84" s="444">
        <f>$D$84/4</f>
        <v>44375</v>
      </c>
      <c r="H84" s="444">
        <f>$D$84/4</f>
        <v>44375</v>
      </c>
      <c r="I84" s="1612" t="s">
        <v>2062</v>
      </c>
      <c r="J84" s="1612"/>
      <c r="K84" s="1612"/>
      <c r="L84" s="1612"/>
    </row>
    <row r="85" spans="1:47" s="435" customFormat="1" ht="22.5">
      <c r="A85" s="391">
        <f t="shared" si="20"/>
        <v>0</v>
      </c>
      <c r="B85" s="391">
        <f ca="1">Деталізація!S51-B86-B87-B88-B89-B90</f>
        <v>191996.91</v>
      </c>
      <c r="C85" s="396" t="s">
        <v>2048</v>
      </c>
      <c r="D85" s="391">
        <f ca="1">SUM(E85:H85)</f>
        <v>191996.91</v>
      </c>
      <c r="E85" s="392">
        <f ca="1">Деталізація!O51-E86-E87-E88-E89-E90</f>
        <v>59250</v>
      </c>
      <c r="F85" s="392">
        <f ca="1">Деталізація!P51-F86-F87-F88-F89-F90</f>
        <v>46750</v>
      </c>
      <c r="G85" s="392">
        <f ca="1">Деталізація!Q51-G86-G87-G88-G89-G90</f>
        <v>28250</v>
      </c>
      <c r="H85" s="392">
        <f ca="1">Деталізація!R51-H86-H87-H88-H89-H90</f>
        <v>57746.91</v>
      </c>
      <c r="I85" s="1610" t="s">
        <v>2063</v>
      </c>
      <c r="J85" s="1610"/>
      <c r="K85" s="1610"/>
      <c r="L85" s="1610"/>
      <c r="Q85" s="434"/>
      <c r="V85" s="434"/>
      <c r="AA85" s="434"/>
      <c r="AF85" s="434"/>
      <c r="AK85" s="434"/>
      <c r="AL85" s="434"/>
      <c r="AM85" s="434"/>
      <c r="AN85" s="434"/>
      <c r="AO85" s="434"/>
      <c r="AP85" s="434"/>
      <c r="AU85" s="434"/>
    </row>
    <row r="86" spans="1:47" s="435" customFormat="1" ht="22.5">
      <c r="A86" s="391">
        <f t="shared" si="20"/>
        <v>0</v>
      </c>
      <c r="B86" s="391">
        <f t="shared" ref="B86:B92" si="21">D86</f>
        <v>4500</v>
      </c>
      <c r="C86" s="396" t="s">
        <v>2049</v>
      </c>
      <c r="D86" s="391">
        <f t="shared" ref="D86:D99" si="22">SUM(E86:H86)</f>
        <v>4500</v>
      </c>
      <c r="E86" s="392">
        <f>4500</f>
        <v>4500</v>
      </c>
      <c r="F86" s="392">
        <v>0</v>
      </c>
      <c r="G86" s="392">
        <f>F86</f>
        <v>0</v>
      </c>
      <c r="H86" s="392">
        <f>G86</f>
        <v>0</v>
      </c>
      <c r="I86" s="1610" t="s">
        <v>2063</v>
      </c>
      <c r="J86" s="1610"/>
      <c r="K86" s="1610"/>
      <c r="L86" s="1610"/>
      <c r="Q86" s="434"/>
      <c r="V86" s="434"/>
      <c r="AA86" s="434"/>
      <c r="AF86" s="434"/>
      <c r="AK86" s="434"/>
      <c r="AL86" s="434"/>
      <c r="AM86" s="434"/>
      <c r="AN86" s="434"/>
      <c r="AO86" s="434"/>
      <c r="AP86" s="434"/>
      <c r="AU86" s="434"/>
    </row>
    <row r="87" spans="1:47" s="435" customFormat="1" ht="22.5">
      <c r="A87" s="391">
        <f t="shared" si="20"/>
        <v>0</v>
      </c>
      <c r="B87" s="391">
        <f t="shared" si="21"/>
        <v>1000</v>
      </c>
      <c r="C87" s="396" t="s">
        <v>2051</v>
      </c>
      <c r="D87" s="391">
        <f t="shared" si="22"/>
        <v>1000</v>
      </c>
      <c r="E87" s="392">
        <f>250</f>
        <v>250</v>
      </c>
      <c r="F87" s="392">
        <f>E87</f>
        <v>250</v>
      </c>
      <c r="G87" s="392">
        <f>F87</f>
        <v>250</v>
      </c>
      <c r="H87" s="392">
        <f>G87</f>
        <v>250</v>
      </c>
      <c r="I87" s="1610" t="s">
        <v>2063</v>
      </c>
      <c r="J87" s="1610"/>
      <c r="K87" s="1610"/>
      <c r="L87" s="1610"/>
      <c r="Q87" s="434"/>
      <c r="V87" s="434"/>
      <c r="AA87" s="434"/>
      <c r="AF87" s="434"/>
      <c r="AK87" s="434"/>
      <c r="AL87" s="434"/>
      <c r="AM87" s="434"/>
      <c r="AN87" s="434"/>
      <c r="AO87" s="434"/>
      <c r="AP87" s="434"/>
      <c r="AU87" s="434"/>
    </row>
    <row r="88" spans="1:47" s="435" customFormat="1" ht="22.5">
      <c r="A88" s="391">
        <f t="shared" si="20"/>
        <v>0</v>
      </c>
      <c r="B88" s="391">
        <f t="shared" si="21"/>
        <v>0</v>
      </c>
      <c r="C88" s="396" t="s">
        <v>2052</v>
      </c>
      <c r="D88" s="391">
        <f t="shared" si="22"/>
        <v>0</v>
      </c>
      <c r="E88" s="392">
        <v>0</v>
      </c>
      <c r="F88" s="392"/>
      <c r="G88" s="392"/>
      <c r="H88" s="392"/>
      <c r="I88" s="1610" t="s">
        <v>2063</v>
      </c>
      <c r="J88" s="1610"/>
      <c r="K88" s="1610"/>
      <c r="L88" s="1610"/>
      <c r="Q88" s="434"/>
      <c r="V88" s="434"/>
      <c r="AA88" s="434"/>
      <c r="AF88" s="434"/>
      <c r="AK88" s="434"/>
      <c r="AL88" s="434"/>
      <c r="AM88" s="434"/>
      <c r="AN88" s="434"/>
      <c r="AO88" s="434"/>
      <c r="AP88" s="434"/>
      <c r="AU88" s="434"/>
    </row>
    <row r="89" spans="1:47" s="435" customFormat="1" ht="22.5">
      <c r="A89" s="391">
        <f t="shared" si="20"/>
        <v>0</v>
      </c>
      <c r="B89" s="391">
        <f t="shared" si="21"/>
        <v>0</v>
      </c>
      <c r="C89" s="396" t="s">
        <v>2053</v>
      </c>
      <c r="D89" s="391">
        <f t="shared" si="22"/>
        <v>0</v>
      </c>
      <c r="E89" s="392">
        <v>0</v>
      </c>
      <c r="F89" s="392"/>
      <c r="G89" s="392"/>
      <c r="H89" s="392"/>
      <c r="I89" s="1610" t="s">
        <v>2063</v>
      </c>
      <c r="J89" s="1610"/>
      <c r="K89" s="1610"/>
      <c r="L89" s="1610"/>
      <c r="Q89" s="434"/>
      <c r="V89" s="434"/>
      <c r="AA89" s="434"/>
      <c r="AF89" s="434"/>
      <c r="AK89" s="434"/>
      <c r="AL89" s="434"/>
      <c r="AM89" s="434"/>
      <c r="AN89" s="434"/>
      <c r="AO89" s="434"/>
      <c r="AP89" s="434"/>
      <c r="AU89" s="434"/>
    </row>
    <row r="90" spans="1:47" s="435" customFormat="1" ht="43.5">
      <c r="A90" s="391">
        <f t="shared" si="20"/>
        <v>0</v>
      </c>
      <c r="B90" s="391">
        <f t="shared" si="21"/>
        <v>8000</v>
      </c>
      <c r="C90" s="396" t="s">
        <v>435</v>
      </c>
      <c r="D90" s="391">
        <f t="shared" si="22"/>
        <v>8000</v>
      </c>
      <c r="E90" s="392">
        <f>2000</f>
        <v>2000</v>
      </c>
      <c r="F90" s="392">
        <f>E90</f>
        <v>2000</v>
      </c>
      <c r="G90" s="392">
        <f>F90</f>
        <v>2000</v>
      </c>
      <c r="H90" s="392">
        <f>G90</f>
        <v>2000</v>
      </c>
      <c r="I90" s="1607" t="s">
        <v>2064</v>
      </c>
      <c r="J90" s="1607"/>
      <c r="K90" s="1607"/>
      <c r="L90" s="1607"/>
      <c r="Q90" s="434"/>
      <c r="V90" s="434"/>
      <c r="AA90" s="434"/>
      <c r="AF90" s="434"/>
      <c r="AK90" s="434"/>
      <c r="AL90" s="434"/>
      <c r="AM90" s="434"/>
      <c r="AN90" s="434"/>
      <c r="AO90" s="434"/>
      <c r="AP90" s="434"/>
      <c r="AU90" s="434"/>
    </row>
    <row r="91" spans="1:47" s="435" customFormat="1" ht="22.5">
      <c r="A91" s="391">
        <f t="shared" si="20"/>
        <v>0</v>
      </c>
      <c r="B91" s="391">
        <f t="shared" si="21"/>
        <v>0</v>
      </c>
      <c r="C91" s="396" t="s">
        <v>1963</v>
      </c>
      <c r="D91" s="391">
        <f t="shared" si="22"/>
        <v>0</v>
      </c>
      <c r="E91" s="392">
        <v>0</v>
      </c>
      <c r="F91" s="392"/>
      <c r="G91" s="392"/>
      <c r="H91" s="392"/>
      <c r="I91" s="1610" t="s">
        <v>1999</v>
      </c>
      <c r="J91" s="1610"/>
      <c r="K91" s="1610"/>
      <c r="L91" s="1610"/>
      <c r="Q91" s="434"/>
      <c r="V91" s="434"/>
      <c r="AA91" s="434"/>
      <c r="AF91" s="434"/>
      <c r="AK91" s="434"/>
      <c r="AL91" s="434"/>
      <c r="AM91" s="434"/>
      <c r="AN91" s="434"/>
      <c r="AO91" s="434"/>
      <c r="AP91" s="434"/>
      <c r="AU91" s="434"/>
    </row>
    <row r="92" spans="1:47" s="435" customFormat="1" ht="22.5">
      <c r="A92" s="391">
        <f t="shared" si="20"/>
        <v>0</v>
      </c>
      <c r="B92" s="391">
        <f t="shared" si="21"/>
        <v>0</v>
      </c>
      <c r="C92" s="1450" t="s">
        <v>2054</v>
      </c>
      <c r="D92" s="391">
        <f t="shared" si="22"/>
        <v>0</v>
      </c>
      <c r="E92" s="392"/>
      <c r="F92" s="392"/>
      <c r="G92" s="392"/>
      <c r="H92" s="392"/>
      <c r="I92" s="1607" t="s">
        <v>1999</v>
      </c>
      <c r="J92" s="1607"/>
      <c r="K92" s="1607"/>
      <c r="L92" s="1607"/>
      <c r="Q92" s="434"/>
      <c r="V92" s="434"/>
      <c r="AA92" s="434"/>
      <c r="AF92" s="434"/>
      <c r="AK92" s="434"/>
      <c r="AL92" s="434"/>
      <c r="AM92" s="434"/>
      <c r="AN92" s="434"/>
      <c r="AO92" s="434"/>
      <c r="AP92" s="434"/>
      <c r="AU92" s="434"/>
    </row>
    <row r="93" spans="1:47" s="435" customFormat="1" ht="22.5">
      <c r="A93" s="391">
        <f t="shared" si="20"/>
        <v>0</v>
      </c>
      <c r="B93" s="391">
        <f ca="1">Деталізація!S56-B96</f>
        <v>2297000</v>
      </c>
      <c r="C93" s="1450" t="s">
        <v>2055</v>
      </c>
      <c r="D93" s="391">
        <f t="shared" si="22"/>
        <v>2297000</v>
      </c>
      <c r="E93" s="392">
        <f ca="1">Деталізація!O56</f>
        <v>497000</v>
      </c>
      <c r="F93" s="392">
        <f ca="1">Деталізація!P56</f>
        <v>1000000</v>
      </c>
      <c r="G93" s="392">
        <f ca="1">Деталізація!Q56</f>
        <v>800000</v>
      </c>
      <c r="H93" s="392">
        <f ca="1">Деталізація!R56</f>
        <v>0</v>
      </c>
      <c r="I93" s="1607" t="s">
        <v>1822</v>
      </c>
      <c r="J93" s="1607"/>
      <c r="K93" s="1607"/>
      <c r="L93" s="1607"/>
      <c r="Q93" s="434"/>
      <c r="V93" s="434"/>
      <c r="AA93" s="434"/>
      <c r="AF93" s="434"/>
      <c r="AK93" s="434"/>
      <c r="AL93" s="434"/>
      <c r="AM93" s="434"/>
      <c r="AN93" s="434"/>
      <c r="AO93" s="434"/>
      <c r="AP93" s="434"/>
      <c r="AU93" s="434"/>
    </row>
    <row r="94" spans="1:47" s="435" customFormat="1" ht="45">
      <c r="A94" s="391">
        <f t="shared" si="20"/>
        <v>0</v>
      </c>
      <c r="B94" s="391">
        <f ca="1">Деталізація!S57-B97</f>
        <v>200000</v>
      </c>
      <c r="C94" s="1450" t="s">
        <v>2056</v>
      </c>
      <c r="D94" s="391">
        <f t="shared" si="22"/>
        <v>200000</v>
      </c>
      <c r="E94" s="392">
        <f ca="1">Деталізація!O57</f>
        <v>40000</v>
      </c>
      <c r="F94" s="392">
        <f ca="1">Деталізація!P57</f>
        <v>80000</v>
      </c>
      <c r="G94" s="392">
        <f ca="1">Деталізація!Q57</f>
        <v>40000</v>
      </c>
      <c r="H94" s="392">
        <f ca="1">Деталізація!R57</f>
        <v>40000</v>
      </c>
      <c r="I94" s="1607" t="s">
        <v>1822</v>
      </c>
      <c r="J94" s="1607"/>
      <c r="K94" s="1607"/>
      <c r="L94" s="1607"/>
      <c r="Q94" s="434"/>
      <c r="V94" s="434"/>
      <c r="AA94" s="434"/>
      <c r="AF94" s="434"/>
      <c r="AK94" s="434"/>
      <c r="AL94" s="434"/>
      <c r="AM94" s="434"/>
      <c r="AN94" s="434"/>
      <c r="AO94" s="434"/>
      <c r="AP94" s="434"/>
      <c r="AU94" s="434"/>
    </row>
    <row r="95" spans="1:47" s="435" customFormat="1" ht="22.5">
      <c r="A95" s="391">
        <f t="shared" si="20"/>
        <v>0</v>
      </c>
      <c r="B95" s="391"/>
      <c r="C95" s="1450" t="s">
        <v>2057</v>
      </c>
      <c r="D95" s="391">
        <f t="shared" si="22"/>
        <v>0</v>
      </c>
      <c r="E95" s="392"/>
      <c r="F95" s="392"/>
      <c r="G95" s="392"/>
      <c r="H95" s="392"/>
      <c r="I95" s="1607" t="s">
        <v>1822</v>
      </c>
      <c r="J95" s="1607"/>
      <c r="K95" s="1607"/>
      <c r="L95" s="1607"/>
      <c r="Q95" s="434"/>
      <c r="V95" s="434"/>
      <c r="AA95" s="434"/>
      <c r="AF95" s="434"/>
      <c r="AK95" s="434"/>
      <c r="AL95" s="434"/>
      <c r="AM95" s="434"/>
      <c r="AN95" s="434"/>
      <c r="AO95" s="434"/>
      <c r="AP95" s="434"/>
      <c r="AU95" s="434"/>
    </row>
    <row r="96" spans="1:47" s="435" customFormat="1" ht="45">
      <c r="A96" s="391">
        <f t="shared" si="20"/>
        <v>0</v>
      </c>
      <c r="B96" s="391">
        <f>3500000-3500000</f>
        <v>0</v>
      </c>
      <c r="C96" s="1450" t="s">
        <v>2058</v>
      </c>
      <c r="D96" s="391">
        <f t="shared" si="22"/>
        <v>0</v>
      </c>
      <c r="E96" s="392"/>
      <c r="F96" s="392"/>
      <c r="G96" s="392">
        <f>3500000-3500000</f>
        <v>0</v>
      </c>
      <c r="H96" s="392"/>
      <c r="I96" s="1607" t="s">
        <v>2068</v>
      </c>
      <c r="J96" s="1607"/>
      <c r="K96" s="1607"/>
      <c r="L96" s="1607"/>
      <c r="Q96" s="434"/>
      <c r="V96" s="434"/>
      <c r="AA96" s="434"/>
      <c r="AF96" s="434"/>
      <c r="AK96" s="434"/>
      <c r="AL96" s="434"/>
      <c r="AM96" s="434"/>
      <c r="AN96" s="434"/>
      <c r="AO96" s="434"/>
      <c r="AP96" s="434"/>
      <c r="AU96" s="434"/>
    </row>
    <row r="97" spans="1:47" s="435" customFormat="1" ht="22.5">
      <c r="A97" s="391">
        <f t="shared" si="20"/>
        <v>0</v>
      </c>
      <c r="B97" s="391"/>
      <c r="C97" s="1450" t="s">
        <v>1816</v>
      </c>
      <c r="D97" s="391">
        <f t="shared" si="22"/>
        <v>0</v>
      </c>
      <c r="E97" s="392"/>
      <c r="F97" s="392"/>
      <c r="G97" s="392"/>
      <c r="H97" s="392"/>
      <c r="I97" s="1607" t="s">
        <v>1999</v>
      </c>
      <c r="J97" s="1607"/>
      <c r="K97" s="1607"/>
      <c r="L97" s="1607"/>
      <c r="Q97" s="434"/>
      <c r="V97" s="434"/>
      <c r="AA97" s="434"/>
      <c r="AF97" s="434"/>
      <c r="AK97" s="434"/>
      <c r="AL97" s="434"/>
      <c r="AM97" s="434"/>
      <c r="AN97" s="434"/>
      <c r="AO97" s="434"/>
      <c r="AP97" s="434"/>
      <c r="AU97" s="434"/>
    </row>
    <row r="98" spans="1:47" s="435" customFormat="1" ht="22.5">
      <c r="A98" s="391">
        <f t="shared" si="20"/>
        <v>0</v>
      </c>
      <c r="B98" s="391"/>
      <c r="C98" s="1118" t="s">
        <v>2065</v>
      </c>
      <c r="D98" s="391">
        <f t="shared" si="22"/>
        <v>0</v>
      </c>
      <c r="E98" s="392"/>
      <c r="F98" s="392"/>
      <c r="G98" s="392"/>
      <c r="H98" s="392"/>
      <c r="I98" s="1607" t="s">
        <v>2066</v>
      </c>
      <c r="J98" s="1607"/>
      <c r="K98" s="1607"/>
      <c r="L98" s="1607"/>
      <c r="Q98" s="434"/>
      <c r="V98" s="434"/>
      <c r="AA98" s="434"/>
      <c r="AF98" s="434"/>
      <c r="AK98" s="434"/>
      <c r="AL98" s="434"/>
      <c r="AM98" s="434"/>
      <c r="AN98" s="434"/>
      <c r="AO98" s="434"/>
      <c r="AP98" s="434"/>
      <c r="AU98" s="434"/>
    </row>
    <row r="99" spans="1:47" s="435" customFormat="1" ht="22.5">
      <c r="A99" s="391">
        <f t="shared" si="20"/>
        <v>0</v>
      </c>
      <c r="B99" s="391">
        <f ca="1">Деталізація!S60</f>
        <v>1750750.6800000002</v>
      </c>
      <c r="C99" s="1450" t="s">
        <v>1820</v>
      </c>
      <c r="D99" s="391">
        <f t="shared" si="22"/>
        <v>1750750.6800000002</v>
      </c>
      <c r="E99" s="392">
        <f>145895.89*3</f>
        <v>437687.67000000004</v>
      </c>
      <c r="F99" s="392">
        <f>E99</f>
        <v>437687.67000000004</v>
      </c>
      <c r="G99" s="392">
        <f>F99</f>
        <v>437687.67000000004</v>
      </c>
      <c r="H99" s="392">
        <f>G99</f>
        <v>437687.67000000004</v>
      </c>
      <c r="I99" s="1607" t="s">
        <v>2067</v>
      </c>
      <c r="J99" s="1607"/>
      <c r="K99" s="1607"/>
      <c r="L99" s="1607"/>
      <c r="Q99" s="434"/>
      <c r="V99" s="434"/>
      <c r="AA99" s="434"/>
      <c r="AF99" s="434"/>
      <c r="AK99" s="434"/>
      <c r="AL99" s="434"/>
      <c r="AM99" s="434"/>
      <c r="AN99" s="434"/>
      <c r="AO99" s="434"/>
      <c r="AP99" s="434"/>
      <c r="AU99" s="434"/>
    </row>
    <row r="100" spans="1:47" s="435" customFormat="1" ht="22.5">
      <c r="A100" s="1516"/>
      <c r="B100" s="1517"/>
      <c r="C100" s="1516" t="s">
        <v>1754</v>
      </c>
      <c r="D100" s="1516"/>
      <c r="E100" s="1516"/>
      <c r="F100" s="1516"/>
      <c r="G100" s="1516"/>
      <c r="H100" s="1516"/>
      <c r="Q100" s="434"/>
      <c r="V100" s="434"/>
      <c r="AA100" s="434"/>
      <c r="AF100" s="434"/>
      <c r="AK100" s="434"/>
      <c r="AL100" s="434"/>
      <c r="AM100" s="434"/>
      <c r="AN100" s="434"/>
      <c r="AO100" s="434"/>
      <c r="AP100" s="434"/>
      <c r="AU100" s="434"/>
    </row>
    <row r="101" spans="1:47" s="428" customFormat="1" ht="22.5">
      <c r="B101" s="423"/>
      <c r="D101" s="1406">
        <f>D56+D72+D73+D74+D75+D76+D77+D80+D81+D93+D94</f>
        <v>17232868.4023</v>
      </c>
      <c r="E101" s="1406">
        <f>E56+E72+E73+E74+E75+E76+E77+E80+E81+E93+E94</f>
        <v>5221468.1657947795</v>
      </c>
      <c r="F101" s="1406">
        <f>F56+F72+F73+F74+F75+F76+F77+F80+F81+F93+F94</f>
        <v>4067213.1522782966</v>
      </c>
      <c r="G101" s="1406">
        <f>G56+G72+G73+G74+G75+G76+G77+G80+G81+G93+G94</f>
        <v>3548761.1555750002</v>
      </c>
      <c r="H101" s="1406">
        <f>H56+H72+H73+H74+H75+H76+H77+H80+H81+H93+H94</f>
        <v>4395425.9286519233</v>
      </c>
      <c r="I101" s="150"/>
      <c r="Q101" s="423"/>
      <c r="V101" s="423"/>
      <c r="AA101" s="423"/>
      <c r="AF101" s="423"/>
      <c r="AK101" s="423"/>
      <c r="AL101" s="395"/>
      <c r="AM101" s="395"/>
      <c r="AN101" s="395"/>
      <c r="AO101" s="395"/>
      <c r="AP101" s="395"/>
      <c r="AU101" s="423"/>
    </row>
    <row r="102" spans="1:47" s="428" customFormat="1" ht="22.5">
      <c r="B102" s="423"/>
      <c r="D102" s="1406">
        <f ca="1">ФОП!S35</f>
        <v>45117708.750187472</v>
      </c>
      <c r="E102" s="1406">
        <f ca="1">ФОП!O35</f>
        <v>11408182.842097934</v>
      </c>
      <c r="F102" s="1406">
        <f ca="1">ФОП!P35</f>
        <v>11171602.75446422</v>
      </c>
      <c r="G102" s="1406">
        <f ca="1">ФОП!Q35</f>
        <v>11139217.974119484</v>
      </c>
      <c r="H102" s="1406">
        <f ca="1">ФОП!R35</f>
        <v>11398705.179505829</v>
      </c>
      <c r="I102" s="150"/>
      <c r="Q102" s="423"/>
      <c r="V102" s="423"/>
      <c r="AA102" s="423"/>
      <c r="AF102" s="423"/>
      <c r="AK102" s="423"/>
      <c r="AL102" s="395"/>
      <c r="AM102" s="395"/>
      <c r="AN102" s="395"/>
      <c r="AO102" s="395"/>
      <c r="AP102" s="395"/>
      <c r="AU102" s="423"/>
    </row>
    <row r="103" spans="1:47" s="428" customFormat="1" ht="22.5">
      <c r="B103" s="423"/>
      <c r="D103" s="1406">
        <f>D101+D102</f>
        <v>62350577.152487472</v>
      </c>
      <c r="E103" s="1406">
        <f>E101+E102</f>
        <v>16629651.007892713</v>
      </c>
      <c r="F103" s="1406">
        <f>F101+F102</f>
        <v>15238815.906742517</v>
      </c>
      <c r="G103" s="1406">
        <f>G101+G102</f>
        <v>14687979.129694484</v>
      </c>
      <c r="H103" s="1406">
        <f>H101+H102</f>
        <v>15794131.108157752</v>
      </c>
      <c r="I103" s="150"/>
      <c r="Q103" s="423"/>
      <c r="V103" s="423"/>
      <c r="AA103" s="423"/>
      <c r="AF103" s="423"/>
      <c r="AK103" s="423"/>
      <c r="AL103" s="395"/>
      <c r="AM103" s="395"/>
      <c r="AN103" s="395"/>
      <c r="AO103" s="395"/>
      <c r="AP103" s="395"/>
      <c r="AU103" s="423"/>
    </row>
    <row r="104" spans="1:47" s="428" customFormat="1" ht="22.5">
      <c r="B104" s="423"/>
      <c r="D104" s="1519">
        <f ca="1">'!!! ФІНАНСОВИЙ ПЛАН 2023 !!!'!F81</f>
        <v>62350577.152487464</v>
      </c>
      <c r="I104" s="150"/>
      <c r="Q104" s="423"/>
      <c r="V104" s="423"/>
      <c r="AA104" s="423"/>
      <c r="AF104" s="423"/>
      <c r="AK104" s="423"/>
      <c r="AL104" s="395"/>
      <c r="AM104" s="395"/>
      <c r="AN104" s="395"/>
      <c r="AO104" s="395"/>
      <c r="AP104" s="395"/>
      <c r="AU104" s="423"/>
    </row>
    <row r="105" spans="1:47">
      <c r="D105" s="1407">
        <f>D104-D103</f>
        <v>0</v>
      </c>
    </row>
  </sheetData>
  <mergeCells count="55">
    <mergeCell ref="I84:L84"/>
    <mergeCell ref="I91:L91"/>
    <mergeCell ref="C45:H45"/>
    <mergeCell ref="C58:H58"/>
    <mergeCell ref="C69:H69"/>
    <mergeCell ref="I72:L72"/>
    <mergeCell ref="I71:L71"/>
    <mergeCell ref="I75:L75"/>
    <mergeCell ref="I76:L76"/>
    <mergeCell ref="I82:L82"/>
    <mergeCell ref="I80:L80"/>
    <mergeCell ref="I77:L77"/>
    <mergeCell ref="I79:L79"/>
    <mergeCell ref="I78:L78"/>
    <mergeCell ref="I73:L73"/>
    <mergeCell ref="I95:L95"/>
    <mergeCell ref="AV7:AZ7"/>
    <mergeCell ref="I7:L7"/>
    <mergeCell ref="W7:AA7"/>
    <mergeCell ref="AL7:AP7"/>
    <mergeCell ref="I93:L93"/>
    <mergeCell ref="I74:L74"/>
    <mergeCell ref="I81:L81"/>
    <mergeCell ref="I85:L85"/>
    <mergeCell ref="I83:L83"/>
    <mergeCell ref="C27:H27"/>
    <mergeCell ref="I99:L99"/>
    <mergeCell ref="I86:L86"/>
    <mergeCell ref="I87:L87"/>
    <mergeCell ref="I88:L88"/>
    <mergeCell ref="I89:L89"/>
    <mergeCell ref="I98:L98"/>
    <mergeCell ref="I97:L97"/>
    <mergeCell ref="I94:L94"/>
    <mergeCell ref="I92:L92"/>
    <mergeCell ref="C9:C10"/>
    <mergeCell ref="I90:L90"/>
    <mergeCell ref="I96:L96"/>
    <mergeCell ref="C33:H33"/>
    <mergeCell ref="AQ6:AU6"/>
    <mergeCell ref="M7:Q7"/>
    <mergeCell ref="AQ7:AU7"/>
    <mergeCell ref="AB7:AF7"/>
    <mergeCell ref="AG7:AK7"/>
    <mergeCell ref="R7:V7"/>
    <mergeCell ref="C15:C16"/>
    <mergeCell ref="C25:E25"/>
    <mergeCell ref="C19:C20"/>
    <mergeCell ref="C2:I2"/>
    <mergeCell ref="C5:E5"/>
    <mergeCell ref="C7:D7"/>
    <mergeCell ref="C17:C18"/>
    <mergeCell ref="C13:C14"/>
    <mergeCell ref="C11:C12"/>
    <mergeCell ref="E7:H7"/>
  </mergeCells>
  <phoneticPr fontId="0" type="noConversion"/>
  <conditionalFormatting sqref="E29:H30 E35:H36 E38:H39 E47:H48 E60:H61 AL19:AO19 AL9:AO9 AL11:AO11 AL13:AO13 AL15:AO15 AL17:AO17 E9:P9 R9:U9 R11:U11 R13:U13 R15:U15 R17:U17 R19:U19 W9:Z9 W11:Z11 W13:Z13 W15:Z15 W17:Z17 W19:Z19 AB9:AE9 AB11:AE11 AB13:AE13 AB15:AE15 AB17:AE17 AB19:AE19 E53:H54 E41:H42 E11:P11 E13:P13 E15:P15 E17:P17 E19:P19 E85:H99 E50:H51 E76:H83 E72:H74">
    <cfRule type="notContainsBlanks" dxfId="4" priority="24">
      <formula>LEN(TRIM(E9))&gt;0</formula>
    </cfRule>
  </conditionalFormatting>
  <pageMargins left="0" right="0" top="0" bottom="0" header="0" footer="0"/>
  <pageSetup paperSize="9" scale="14" fitToHeight="10" orientation="landscape" r:id="rId1"/>
  <ignoredErrors>
    <ignoredError sqref="AQ10:AT10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85" zoomScaleNormal="100" zoomScaleSheetLayoutView="85" workbookViewId="0">
      <selection activeCell="P15" sqref="P15"/>
    </sheetView>
  </sheetViews>
  <sheetFormatPr defaultRowHeight="15"/>
  <cols>
    <col min="1" max="1" width="1.28515625" style="1368" customWidth="1"/>
    <col min="2" max="2" width="41.85546875" style="1348" bestFit="1" customWidth="1"/>
    <col min="3" max="3" width="57.42578125" style="1369" customWidth="1"/>
    <col min="4" max="4" width="13" style="1349" bestFit="1" customWidth="1"/>
    <col min="5" max="5" width="11.5703125" style="1349" bestFit="1" customWidth="1"/>
    <col min="6" max="6" width="13.42578125" style="1349" bestFit="1" customWidth="1"/>
    <col min="7" max="7" width="15.42578125" style="1349" bestFit="1" customWidth="1"/>
    <col min="8" max="10" width="13" style="1349" bestFit="1" customWidth="1"/>
    <col min="11" max="11" width="13.42578125" style="1349" bestFit="1" customWidth="1"/>
    <col min="12" max="15" width="13" style="1349" bestFit="1" customWidth="1"/>
    <col min="16" max="16" width="12.85546875" style="1349" bestFit="1" customWidth="1"/>
  </cols>
  <sheetData>
    <row r="1" spans="1:16">
      <c r="D1" s="1350"/>
      <c r="E1" s="1350"/>
      <c r="F1" s="1350"/>
      <c r="G1" s="1350"/>
      <c r="H1" s="1350"/>
      <c r="I1" s="1350"/>
      <c r="J1" s="1350"/>
      <c r="K1" s="1350"/>
      <c r="L1" s="1350"/>
      <c r="M1" s="1350"/>
      <c r="N1" s="1350"/>
      <c r="O1" s="1350"/>
      <c r="P1" s="1350"/>
    </row>
    <row r="2" spans="1:16">
      <c r="B2" s="1351" t="s">
        <v>2070</v>
      </c>
      <c r="C2" s="1370"/>
      <c r="D2" s="1456"/>
      <c r="E2" s="1456"/>
      <c r="F2" s="1456"/>
      <c r="G2" s="1458"/>
      <c r="H2" s="1458"/>
      <c r="I2" s="1458"/>
      <c r="J2" s="1456"/>
      <c r="K2" s="1456"/>
      <c r="L2" s="1456"/>
      <c r="M2" s="1458"/>
      <c r="N2" s="1458"/>
      <c r="O2" s="1458"/>
      <c r="P2" s="1353"/>
    </row>
    <row r="3" spans="1:16" s="1153" customFormat="1">
      <c r="A3" s="476"/>
      <c r="B3" s="1354" t="s">
        <v>528</v>
      </c>
      <c r="C3" s="1386" t="s">
        <v>529</v>
      </c>
      <c r="D3" s="1457" t="s">
        <v>1557</v>
      </c>
      <c r="E3" s="1457" t="s">
        <v>1847</v>
      </c>
      <c r="F3" s="1457" t="s">
        <v>1848</v>
      </c>
      <c r="G3" s="1459" t="s">
        <v>1849</v>
      </c>
      <c r="H3" s="1459" t="s">
        <v>1850</v>
      </c>
      <c r="I3" s="1459" t="s">
        <v>1851</v>
      </c>
      <c r="J3" s="1457" t="s">
        <v>1558</v>
      </c>
      <c r="K3" s="1457" t="s">
        <v>1853</v>
      </c>
      <c r="L3" s="1457" t="s">
        <v>1854</v>
      </c>
      <c r="M3" s="1459" t="s">
        <v>1855</v>
      </c>
      <c r="N3" s="1459" t="s">
        <v>1856</v>
      </c>
      <c r="O3" s="1459" t="s">
        <v>1857</v>
      </c>
      <c r="P3" s="1355">
        <v>2023</v>
      </c>
    </row>
    <row r="4" spans="1:16" ht="18.75">
      <c r="B4" s="1356"/>
      <c r="C4" s="1371"/>
      <c r="D4" s="1357">
        <f t="shared" ref="D4:P4" si="0">SUM(D5:D12)</f>
        <v>200000</v>
      </c>
      <c r="E4" s="1357">
        <f t="shared" si="0"/>
        <v>45000</v>
      </c>
      <c r="F4" s="1357">
        <f t="shared" si="0"/>
        <v>252000</v>
      </c>
      <c r="G4" s="1357">
        <f t="shared" si="0"/>
        <v>1000000</v>
      </c>
      <c r="H4" s="1357">
        <f t="shared" si="0"/>
        <v>0</v>
      </c>
      <c r="I4" s="1357">
        <f t="shared" si="0"/>
        <v>0</v>
      </c>
      <c r="J4" s="1357">
        <f t="shared" si="0"/>
        <v>250000</v>
      </c>
      <c r="K4" s="1357">
        <f t="shared" si="0"/>
        <v>550000</v>
      </c>
      <c r="L4" s="1357">
        <f t="shared" si="0"/>
        <v>0</v>
      </c>
      <c r="M4" s="1357">
        <f t="shared" si="0"/>
        <v>0</v>
      </c>
      <c r="N4" s="1357">
        <f t="shared" si="0"/>
        <v>0</v>
      </c>
      <c r="O4" s="1357">
        <f t="shared" si="0"/>
        <v>0</v>
      </c>
      <c r="P4" s="1421">
        <f t="shared" si="0"/>
        <v>2297000</v>
      </c>
    </row>
    <row r="5" spans="1:16">
      <c r="B5" s="1359" t="s">
        <v>400</v>
      </c>
      <c r="C5" s="1372"/>
      <c r="D5" s="1360"/>
      <c r="E5" s="1360"/>
      <c r="F5" s="1360"/>
      <c r="G5" s="1360"/>
      <c r="H5" s="1360"/>
      <c r="I5" s="1360"/>
      <c r="J5" s="1360"/>
      <c r="K5" s="1360">
        <v>550000</v>
      </c>
      <c r="L5" s="1360"/>
      <c r="M5" s="1360"/>
      <c r="N5" s="1360"/>
      <c r="O5" s="1361"/>
      <c r="P5" s="1422">
        <f t="shared" ref="P5:P11" si="1">SUM(D5:O5)</f>
        <v>550000</v>
      </c>
    </row>
    <row r="6" spans="1:16">
      <c r="B6" s="1362" t="s">
        <v>401</v>
      </c>
      <c r="C6" s="1373"/>
      <c r="D6" s="1360"/>
      <c r="E6" s="1360"/>
      <c r="F6" s="1360"/>
      <c r="G6" s="1360"/>
      <c r="H6" s="1360"/>
      <c r="I6" s="1360"/>
      <c r="J6" s="1360">
        <f>250000</f>
        <v>250000</v>
      </c>
      <c r="K6" s="1360"/>
      <c r="L6" s="1360"/>
      <c r="M6" s="1360"/>
      <c r="N6" s="1361"/>
      <c r="O6" s="1361"/>
      <c r="P6" s="1422">
        <f t="shared" si="1"/>
        <v>250000</v>
      </c>
    </row>
    <row r="7" spans="1:16">
      <c r="B7" s="1362" t="s">
        <v>402</v>
      </c>
      <c r="C7" s="1373"/>
      <c r="D7" s="1360">
        <f>200000</f>
        <v>200000</v>
      </c>
      <c r="E7" s="1360"/>
      <c r="F7" s="1360"/>
      <c r="G7" s="1360"/>
      <c r="H7" s="1360"/>
      <c r="I7" s="1360"/>
      <c r="J7" s="1360"/>
      <c r="K7" s="1360"/>
      <c r="L7" s="1360"/>
      <c r="M7" s="1360"/>
      <c r="N7" s="1361"/>
      <c r="O7" s="1361"/>
      <c r="P7" s="1422">
        <f t="shared" si="1"/>
        <v>200000</v>
      </c>
    </row>
    <row r="8" spans="1:16">
      <c r="B8" s="1362" t="s">
        <v>403</v>
      </c>
      <c r="C8" s="1374"/>
      <c r="D8" s="1352"/>
      <c r="E8" s="1352"/>
      <c r="F8" s="1352">
        <f>52000</f>
        <v>52000</v>
      </c>
      <c r="G8" s="1352"/>
      <c r="H8" s="1352"/>
      <c r="I8" s="1352"/>
      <c r="J8" s="1352"/>
      <c r="K8" s="1352"/>
      <c r="L8" s="1352"/>
      <c r="M8" s="1352"/>
      <c r="N8" s="1352"/>
      <c r="O8" s="1361"/>
      <c r="P8" s="1422">
        <f t="shared" si="1"/>
        <v>52000</v>
      </c>
    </row>
    <row r="9" spans="1:16">
      <c r="B9" s="1363" t="s">
        <v>404</v>
      </c>
      <c r="C9" s="1373"/>
      <c r="D9" s="1360"/>
      <c r="E9" s="1360"/>
      <c r="F9" s="1360">
        <v>200000</v>
      </c>
      <c r="G9" s="1360"/>
      <c r="H9" s="1360"/>
      <c r="I9" s="1360"/>
      <c r="J9" s="1360"/>
      <c r="K9" s="1360"/>
      <c r="L9" s="1360"/>
      <c r="M9" s="1360"/>
      <c r="N9" s="1361"/>
      <c r="O9" s="1361"/>
      <c r="P9" s="1422">
        <f t="shared" si="1"/>
        <v>200000</v>
      </c>
    </row>
    <row r="10" spans="1:16">
      <c r="B10" s="1363" t="s">
        <v>405</v>
      </c>
      <c r="C10" s="1373"/>
      <c r="D10" s="1360"/>
      <c r="E10" s="1360">
        <f>45000</f>
        <v>45000</v>
      </c>
      <c r="F10" s="1360"/>
      <c r="G10" s="1360"/>
      <c r="H10" s="1360"/>
      <c r="I10" s="1360"/>
      <c r="J10" s="1360"/>
      <c r="K10" s="1360"/>
      <c r="L10" s="1360"/>
      <c r="M10" s="1360"/>
      <c r="N10" s="1361"/>
      <c r="O10" s="1361"/>
      <c r="P10" s="1422">
        <f t="shared" si="1"/>
        <v>45000</v>
      </c>
    </row>
    <row r="11" spans="1:16">
      <c r="B11" s="1363" t="s">
        <v>406</v>
      </c>
      <c r="C11" s="1373"/>
      <c r="D11" s="1360"/>
      <c r="E11" s="1360"/>
      <c r="F11" s="1360"/>
      <c r="G11" s="1360">
        <f>1000000</f>
        <v>1000000</v>
      </c>
      <c r="H11" s="1360"/>
      <c r="I11" s="1360"/>
      <c r="J11" s="1360"/>
      <c r="K11" s="1360"/>
      <c r="L11" s="1360"/>
      <c r="M11" s="1360"/>
      <c r="N11" s="1361"/>
      <c r="O11" s="1361"/>
      <c r="P11" s="1422">
        <f t="shared" si="1"/>
        <v>1000000</v>
      </c>
    </row>
    <row r="12" spans="1:16">
      <c r="B12" s="1351" t="s">
        <v>382</v>
      </c>
      <c r="C12" s="1370"/>
      <c r="D12" s="1364"/>
      <c r="E12" s="1364"/>
      <c r="F12" s="1364"/>
      <c r="G12" s="1364"/>
      <c r="H12" s="1364"/>
      <c r="I12" s="1364"/>
      <c r="J12" s="1364"/>
      <c r="K12" s="1364"/>
      <c r="L12" s="1051"/>
      <c r="M12" s="1364"/>
      <c r="N12" s="1364"/>
      <c r="O12" s="1051"/>
      <c r="P12" s="1423"/>
    </row>
    <row r="13" spans="1:16" s="1153" customFormat="1">
      <c r="A13" s="476"/>
      <c r="B13" s="1354"/>
      <c r="C13" s="1386" t="s">
        <v>529</v>
      </c>
      <c r="D13" s="1355" t="s">
        <v>1557</v>
      </c>
      <c r="E13" s="1355" t="s">
        <v>1847</v>
      </c>
      <c r="F13" s="1355" t="s">
        <v>1848</v>
      </c>
      <c r="G13" s="1355" t="s">
        <v>1849</v>
      </c>
      <c r="H13" s="1355" t="s">
        <v>1850</v>
      </c>
      <c r="I13" s="1355" t="s">
        <v>1851</v>
      </c>
      <c r="J13" s="1355" t="s">
        <v>1558</v>
      </c>
      <c r="K13" s="1355" t="s">
        <v>1853</v>
      </c>
      <c r="L13" s="1355" t="s">
        <v>1854</v>
      </c>
      <c r="M13" s="1355" t="s">
        <v>1855</v>
      </c>
      <c r="N13" s="1355" t="s">
        <v>1856</v>
      </c>
      <c r="O13" s="475" t="s">
        <v>1857</v>
      </c>
      <c r="P13" s="1423">
        <v>2023</v>
      </c>
    </row>
    <row r="14" spans="1:16" ht="18.75">
      <c r="B14" s="1365"/>
      <c r="C14" s="1371"/>
      <c r="D14" s="1358">
        <v>30000</v>
      </c>
      <c r="E14" s="1358">
        <v>5000</v>
      </c>
      <c r="F14" s="1358">
        <v>5000</v>
      </c>
      <c r="G14" s="1358">
        <v>10000</v>
      </c>
      <c r="H14" s="1358">
        <v>20000</v>
      </c>
      <c r="I14" s="1358">
        <v>50000</v>
      </c>
      <c r="J14" s="1358">
        <v>10000</v>
      </c>
      <c r="K14" s="1358">
        <v>15000</v>
      </c>
      <c r="L14" s="1358">
        <v>15000</v>
      </c>
      <c r="M14" s="1358">
        <v>10000</v>
      </c>
      <c r="N14" s="1358">
        <v>20000</v>
      </c>
      <c r="O14" s="1358">
        <v>10000</v>
      </c>
      <c r="P14" s="1421">
        <f>SUM(D14:O14)</f>
        <v>200000</v>
      </c>
    </row>
    <row r="15" spans="1:16">
      <c r="B15" s="1367"/>
      <c r="C15" s="1375" t="s">
        <v>392</v>
      </c>
      <c r="D15" s="1352"/>
      <c r="E15" s="1352"/>
      <c r="F15" s="1352"/>
      <c r="G15" s="1352"/>
      <c r="H15" s="1352"/>
      <c r="I15" s="1352"/>
      <c r="J15" s="1352"/>
      <c r="K15" s="1352"/>
      <c r="L15" s="1352"/>
      <c r="M15" s="1352"/>
      <c r="N15" s="1352"/>
      <c r="O15" s="1352"/>
      <c r="P15" s="1352"/>
    </row>
    <row r="16" spans="1:16">
      <c r="B16" s="1367"/>
      <c r="C16" s="1375" t="s">
        <v>387</v>
      </c>
      <c r="D16" s="1352"/>
      <c r="E16" s="1352"/>
      <c r="F16" s="1352"/>
      <c r="G16" s="1352"/>
      <c r="H16" s="1352"/>
      <c r="I16" s="1352"/>
      <c r="J16" s="1352"/>
      <c r="K16" s="1352"/>
      <c r="L16" s="1352"/>
      <c r="M16" s="1352"/>
      <c r="N16" s="1352"/>
      <c r="O16" s="1352"/>
      <c r="P16" s="1366"/>
    </row>
    <row r="17" spans="2:16">
      <c r="B17" s="1367"/>
      <c r="C17" s="1372" t="s">
        <v>395</v>
      </c>
      <c r="D17" s="1352"/>
      <c r="E17" s="1352"/>
      <c r="F17" s="1352"/>
      <c r="G17" s="1352"/>
      <c r="H17" s="1352"/>
      <c r="I17" s="1352"/>
      <c r="J17" s="1352"/>
      <c r="K17" s="1352"/>
      <c r="L17" s="1352"/>
      <c r="M17" s="1352"/>
      <c r="N17" s="1352"/>
      <c r="O17" s="1352"/>
      <c r="P17" s="1352"/>
    </row>
    <row r="18" spans="2:16">
      <c r="B18" s="1367"/>
      <c r="C18" s="1375" t="s">
        <v>391</v>
      </c>
      <c r="D18" s="1352"/>
      <c r="E18" s="1352"/>
      <c r="F18" s="1352"/>
      <c r="G18" s="1352"/>
      <c r="H18" s="1352"/>
      <c r="I18" s="1352"/>
      <c r="J18" s="1352"/>
      <c r="K18" s="1352"/>
      <c r="L18" s="1352"/>
      <c r="M18" s="1352"/>
      <c r="N18" s="1352"/>
      <c r="O18" s="1352"/>
      <c r="P18" s="1352"/>
    </row>
    <row r="19" spans="2:16">
      <c r="B19" s="1367"/>
      <c r="C19" s="1376" t="s">
        <v>381</v>
      </c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</row>
    <row r="20" spans="2:16">
      <c r="B20" s="1367"/>
      <c r="C20" s="1377" t="s">
        <v>396</v>
      </c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</row>
    <row r="21" spans="2:16">
      <c r="B21" s="1367"/>
      <c r="C21" s="1375" t="s">
        <v>388</v>
      </c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</row>
    <row r="22" spans="2:16">
      <c r="B22" s="1367"/>
      <c r="C22" s="1378" t="s">
        <v>399</v>
      </c>
      <c r="D22" s="1352"/>
      <c r="E22" s="1352"/>
      <c r="F22" s="1352"/>
      <c r="G22" s="1352"/>
      <c r="H22" s="1352"/>
      <c r="I22" s="1352"/>
      <c r="J22" s="1352"/>
      <c r="K22" s="1352"/>
      <c r="L22" s="1352"/>
      <c r="M22" s="1352"/>
      <c r="N22" s="1352"/>
      <c r="O22" s="1352"/>
      <c r="P22" s="1352"/>
    </row>
    <row r="23" spans="2:16">
      <c r="B23" s="1367"/>
      <c r="C23" s="1375" t="s">
        <v>394</v>
      </c>
      <c r="D23" s="1352"/>
      <c r="E23" s="1352"/>
      <c r="F23" s="1352"/>
      <c r="G23" s="1352"/>
      <c r="H23" s="1352"/>
      <c r="I23" s="1352"/>
      <c r="J23" s="1352"/>
      <c r="K23" s="1352"/>
      <c r="L23" s="1352"/>
      <c r="M23" s="1352"/>
      <c r="N23" s="1352"/>
      <c r="O23" s="1352"/>
      <c r="P23" s="1352"/>
    </row>
    <row r="24" spans="2:16" ht="24.75">
      <c r="B24" s="1367"/>
      <c r="C24" s="1378" t="s">
        <v>398</v>
      </c>
      <c r="D24" s="1352"/>
      <c r="E24" s="1352"/>
      <c r="F24" s="1352"/>
      <c r="G24" s="1352"/>
      <c r="H24" s="1352"/>
      <c r="I24" s="1352"/>
      <c r="J24" s="1352"/>
      <c r="K24" s="1352"/>
      <c r="L24" s="1352"/>
      <c r="M24" s="1352"/>
      <c r="N24" s="1352"/>
      <c r="O24" s="1352"/>
      <c r="P24" s="1352"/>
    </row>
    <row r="25" spans="2:16">
      <c r="B25" s="1367"/>
      <c r="C25" s="1375" t="s">
        <v>384</v>
      </c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</row>
    <row r="26" spans="2:16">
      <c r="B26" s="1367"/>
      <c r="C26" s="1375" t="s">
        <v>393</v>
      </c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</row>
    <row r="27" spans="2:16">
      <c r="B27" s="1367"/>
      <c r="C27" s="1375" t="s">
        <v>385</v>
      </c>
      <c r="D27" s="1352"/>
      <c r="E27" s="1352"/>
      <c r="F27" s="1352"/>
      <c r="G27" s="1352"/>
      <c r="H27" s="1352"/>
      <c r="I27" s="1352"/>
      <c r="J27" s="1352"/>
      <c r="K27" s="1352"/>
      <c r="L27" s="1352"/>
      <c r="M27" s="1352"/>
      <c r="N27" s="1352"/>
      <c r="O27" s="1352"/>
      <c r="P27" s="1352"/>
    </row>
    <row r="28" spans="2:16">
      <c r="B28" s="1367"/>
      <c r="C28" s="1375" t="s">
        <v>390</v>
      </c>
      <c r="D28" s="1352"/>
      <c r="E28" s="1352"/>
      <c r="F28" s="1352"/>
      <c r="G28" s="1352"/>
      <c r="H28" s="1352"/>
      <c r="I28" s="1352"/>
      <c r="J28" s="1352"/>
      <c r="K28" s="1352"/>
      <c r="L28" s="1352"/>
      <c r="M28" s="1352"/>
      <c r="N28" s="1352"/>
      <c r="O28" s="1352"/>
      <c r="P28" s="1352"/>
    </row>
    <row r="29" spans="2:16">
      <c r="B29" s="1367"/>
      <c r="C29" s="1375" t="s">
        <v>389</v>
      </c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</row>
    <row r="30" spans="2:16">
      <c r="B30" s="1367"/>
      <c r="C30" s="1375" t="s">
        <v>383</v>
      </c>
      <c r="D30" s="1352"/>
      <c r="E30" s="1352"/>
      <c r="F30" s="1352"/>
      <c r="G30" s="1352"/>
      <c r="H30" s="1352"/>
      <c r="I30" s="1352"/>
      <c r="J30" s="1352"/>
      <c r="K30" s="1352"/>
      <c r="L30" s="1352"/>
      <c r="M30" s="1352"/>
      <c r="N30" s="1352"/>
      <c r="O30" s="1352"/>
      <c r="P30" s="1352"/>
    </row>
    <row r="31" spans="2:16">
      <c r="B31" s="1367"/>
      <c r="C31" s="1375" t="s">
        <v>386</v>
      </c>
      <c r="D31" s="1352"/>
      <c r="E31" s="1352"/>
      <c r="F31" s="1352"/>
      <c r="G31" s="1352"/>
      <c r="H31" s="1352"/>
      <c r="I31" s="1352"/>
      <c r="J31" s="1352"/>
      <c r="K31" s="1352"/>
      <c r="L31" s="1352"/>
      <c r="M31" s="1352"/>
      <c r="N31" s="1352"/>
      <c r="O31" s="1352"/>
      <c r="P31" s="1352"/>
    </row>
    <row r="32" spans="2:16">
      <c r="B32" s="1367"/>
      <c r="C32" s="1377" t="s">
        <v>397</v>
      </c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</row>
  </sheetData>
  <phoneticPr fontId="66" type="noConversion"/>
  <hyperlinks>
    <hyperlink ref="C16" r:id="rId1" display="https://prozorro.gov.ua/tender/UA-2022-05-27-002362-a"/>
    <hyperlink ref="C27" r:id="rId2" display="https://prozorro.gov.ua/tender/UA-2022-02-15-004370-b"/>
    <hyperlink ref="C30" r:id="rId3" display="https://prozorro.gov.ua/tender/UA-2022-01-26-008402-b"/>
    <hyperlink ref="C31" r:id="rId4" display="https://prozorro.gov.ua/tender/UA-2022-04-20-000925-a"/>
    <hyperlink ref="C18" r:id="rId5" display="https://prozorro.gov.ua/tender/UA-2022-06-15-004172-a"/>
    <hyperlink ref="C15" r:id="rId6" display="https://prozorro.gov.ua/tender/UA-2022-06-14-003890-a"/>
    <hyperlink ref="C19" r:id="rId7" display="https://prozorro.gov.ua/tender/UA-2022-03-24-003253-b"/>
    <hyperlink ref="C25" r:id="rId8" display="https://prozorro.gov.ua/tender/UA-2022-01-24-008182-b"/>
    <hyperlink ref="C21" r:id="rId9" display="https://prozorro.gov.ua/tender/UA-2022-05-20-003869-a"/>
    <hyperlink ref="C29" r:id="rId10" display="https://prozorro.gov.ua/tender/UA-2022-06-07-006394-a"/>
    <hyperlink ref="C28" r:id="rId11" display="https://prozorro.gov.ua/tender/UA-2022-06-09-002320-a"/>
    <hyperlink ref="C23" r:id="rId12" display="https://prozorro.gov.ua/tender/UA-2022-06-23-002141-a"/>
    <hyperlink ref="C26" r:id="rId13" display="https://prozorro.gov.ua/tender/UA-2022-06-16-005707-a"/>
    <hyperlink ref="C17" r:id="rId14" display="https://prozorro.gov.ua/tender/UA-2022-06-15-003675-a"/>
    <hyperlink ref="C24" r:id="rId15" display="https://prozorro.gov.ua/tender/UA-2022-09-06-009534-a"/>
    <hyperlink ref="C22" r:id="rId16" display="https://prozorro.gov.ua/tender/UA-2022-09-14-006362-a"/>
  </hyperlinks>
  <pageMargins left="0" right="0" top="0" bottom="0" header="0" footer="0"/>
  <pageSetup paperSize="9" scale="53" orientation="landscape" verticalDpi="0" r:id="rId1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8"/>
  <sheetViews>
    <sheetView view="pageBreakPreview" zoomScale="50" zoomScaleNormal="50" zoomScaleSheetLayoutView="5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81" sqref="L81"/>
    </sheetView>
  </sheetViews>
  <sheetFormatPr defaultRowHeight="19.5"/>
  <cols>
    <col min="1" max="1" width="3.140625" customWidth="1"/>
    <col min="2" max="2" width="120.5703125" style="1188" customWidth="1"/>
    <col min="3" max="3" width="16.42578125" style="1189" bestFit="1" customWidth="1"/>
    <col min="4" max="5" width="15" style="1188" bestFit="1" customWidth="1"/>
    <col min="6" max="6" width="13.5703125" style="1188" bestFit="1" customWidth="1"/>
    <col min="7" max="7" width="15" style="1188" bestFit="1" customWidth="1"/>
    <col min="8" max="8" width="13.5703125" style="1188" customWidth="1"/>
    <col min="9" max="9" width="13.5703125" style="1188" bestFit="1" customWidth="1"/>
    <col min="10" max="11" width="15" style="1188" bestFit="1" customWidth="1"/>
    <col min="12" max="12" width="15" style="1190" bestFit="1" customWidth="1"/>
    <col min="13" max="13" width="15" style="1188" bestFit="1" customWidth="1"/>
    <col min="14" max="14" width="13.5703125" style="1188" bestFit="1" customWidth="1"/>
    <col min="15" max="15" width="13.5703125" style="1190" bestFit="1" customWidth="1"/>
    <col min="16" max="16" width="17.140625" style="1190" customWidth="1"/>
  </cols>
  <sheetData>
    <row r="1" spans="2:16">
      <c r="B1" s="1161"/>
      <c r="C1" s="1162"/>
      <c r="D1" s="1163"/>
      <c r="E1" s="1163"/>
      <c r="F1" s="1163"/>
      <c r="G1" s="1163"/>
      <c r="H1" s="1163"/>
      <c r="I1" s="1163"/>
      <c r="J1" s="1163"/>
      <c r="K1" s="1163"/>
      <c r="L1" s="1164"/>
      <c r="M1" s="1163"/>
      <c r="N1" s="1163"/>
      <c r="O1" s="1164"/>
      <c r="P1" s="1163"/>
    </row>
    <row r="2" spans="2:16">
      <c r="B2" s="1161" t="s">
        <v>444</v>
      </c>
      <c r="C2" s="1162"/>
      <c r="D2" s="1161" t="s">
        <v>1557</v>
      </c>
      <c r="E2" s="1161" t="s">
        <v>1847</v>
      </c>
      <c r="F2" s="1161" t="s">
        <v>1848</v>
      </c>
      <c r="G2" s="1161" t="s">
        <v>1849</v>
      </c>
      <c r="H2" s="1161" t="s">
        <v>1850</v>
      </c>
      <c r="I2" s="1161" t="s">
        <v>1851</v>
      </c>
      <c r="J2" s="1161" t="s">
        <v>1558</v>
      </c>
      <c r="K2" s="1161" t="s">
        <v>1853</v>
      </c>
      <c r="L2" s="1161" t="s">
        <v>1854</v>
      </c>
      <c r="M2" s="1161" t="s">
        <v>1855</v>
      </c>
      <c r="N2" s="1161" t="s">
        <v>1856</v>
      </c>
      <c r="O2" s="676" t="s">
        <v>1857</v>
      </c>
      <c r="P2" s="1161">
        <v>2023</v>
      </c>
    </row>
    <row r="3" spans="2:16">
      <c r="B3" s="1165" t="s">
        <v>1566</v>
      </c>
      <c r="C3" s="1166"/>
      <c r="D3" s="1167">
        <f t="shared" ref="D3:P3" si="0">SUM(D4:D4)</f>
        <v>0</v>
      </c>
      <c r="E3" s="1167">
        <f t="shared" si="0"/>
        <v>0</v>
      </c>
      <c r="F3" s="1167">
        <f t="shared" si="0"/>
        <v>0</v>
      </c>
      <c r="G3" s="1167">
        <f t="shared" si="0"/>
        <v>0</v>
      </c>
      <c r="H3" s="1167">
        <f t="shared" si="0"/>
        <v>0</v>
      </c>
      <c r="I3" s="1167">
        <f t="shared" si="0"/>
        <v>0</v>
      </c>
      <c r="J3" s="1167">
        <f t="shared" si="0"/>
        <v>0</v>
      </c>
      <c r="K3" s="1167">
        <f t="shared" si="0"/>
        <v>0</v>
      </c>
      <c r="L3" s="1167">
        <f t="shared" si="0"/>
        <v>0</v>
      </c>
      <c r="M3" s="1167">
        <f t="shared" si="0"/>
        <v>0</v>
      </c>
      <c r="N3" s="1167">
        <f t="shared" si="0"/>
        <v>0</v>
      </c>
      <c r="O3" s="1167">
        <f t="shared" si="0"/>
        <v>0</v>
      </c>
      <c r="P3" s="1167">
        <f t="shared" si="0"/>
        <v>0</v>
      </c>
    </row>
    <row r="4" spans="2:16">
      <c r="B4" s="1161"/>
      <c r="C4" s="1162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676"/>
      <c r="P4" s="1168">
        <f>SUM(D4:O4)</f>
        <v>0</v>
      </c>
    </row>
    <row r="5" spans="2:16">
      <c r="B5" s="1165" t="s">
        <v>0</v>
      </c>
      <c r="C5" s="1166"/>
      <c r="D5" s="1167">
        <f>SUM(D6:D73)</f>
        <v>14250</v>
      </c>
      <c r="E5" s="1167">
        <f t="shared" ref="E5:P5" si="1">SUM(E6:E73)</f>
        <v>66725</v>
      </c>
      <c r="F5" s="1167">
        <f t="shared" si="1"/>
        <v>46315</v>
      </c>
      <c r="G5" s="1167">
        <f t="shared" si="1"/>
        <v>6421</v>
      </c>
      <c r="H5" s="1167">
        <f t="shared" si="1"/>
        <v>77054</v>
      </c>
      <c r="I5" s="1167">
        <f t="shared" si="1"/>
        <v>6573</v>
      </c>
      <c r="J5" s="1167">
        <f t="shared" si="1"/>
        <v>21031</v>
      </c>
      <c r="K5" s="1167">
        <f t="shared" si="1"/>
        <v>63229</v>
      </c>
      <c r="L5" s="1167">
        <f t="shared" si="1"/>
        <v>48318</v>
      </c>
      <c r="M5" s="1167">
        <f t="shared" si="1"/>
        <v>38509</v>
      </c>
      <c r="N5" s="1167">
        <f t="shared" si="1"/>
        <v>23960</v>
      </c>
      <c r="O5" s="1167">
        <f t="shared" si="1"/>
        <v>20000</v>
      </c>
      <c r="P5" s="1167">
        <f t="shared" si="1"/>
        <v>432385</v>
      </c>
    </row>
    <row r="6" spans="2:16" hidden="1">
      <c r="B6" s="1169" t="s">
        <v>1</v>
      </c>
      <c r="C6" s="1170" t="s">
        <v>2</v>
      </c>
      <c r="D6" s="676"/>
      <c r="E6" s="676"/>
      <c r="F6" s="676">
        <f>274</f>
        <v>274</v>
      </c>
      <c r="G6" s="676"/>
      <c r="H6" s="676">
        <f>65</f>
        <v>65</v>
      </c>
      <c r="I6" s="676"/>
      <c r="J6" s="676">
        <f>205</f>
        <v>205</v>
      </c>
      <c r="K6" s="676"/>
      <c r="L6" s="676">
        <f>185</f>
        <v>185</v>
      </c>
      <c r="M6" s="676">
        <f>404+242</f>
        <v>646</v>
      </c>
      <c r="N6" s="676"/>
      <c r="O6" s="1171"/>
      <c r="P6" s="1171">
        <f t="shared" ref="P6:P73" si="2">SUM(D6:O6)</f>
        <v>1375</v>
      </c>
    </row>
    <row r="7" spans="2:16" hidden="1">
      <c r="B7" s="1172" t="s">
        <v>3</v>
      </c>
      <c r="C7" s="1170" t="s">
        <v>4</v>
      </c>
      <c r="D7" s="676"/>
      <c r="E7" s="676"/>
      <c r="F7" s="676"/>
      <c r="G7" s="676"/>
      <c r="H7" s="676"/>
      <c r="I7" s="676"/>
      <c r="J7" s="676"/>
      <c r="K7" s="676"/>
      <c r="L7" s="676"/>
      <c r="M7" s="676">
        <f>825</f>
        <v>825</v>
      </c>
      <c r="N7" s="676"/>
      <c r="O7" s="1171"/>
      <c r="P7" s="1171">
        <f t="shared" si="2"/>
        <v>825</v>
      </c>
    </row>
    <row r="8" spans="2:16" hidden="1">
      <c r="B8" s="1169" t="s">
        <v>5</v>
      </c>
      <c r="C8" s="1169" t="s">
        <v>6</v>
      </c>
      <c r="D8" s="676"/>
      <c r="E8" s="676"/>
      <c r="F8" s="676"/>
      <c r="G8" s="676"/>
      <c r="H8" s="676">
        <f>321+100+20+300</f>
        <v>741</v>
      </c>
      <c r="I8" s="676">
        <f>75</f>
        <v>75</v>
      </c>
      <c r="J8" s="676"/>
      <c r="K8" s="1171">
        <f>140+120</f>
        <v>260</v>
      </c>
      <c r="L8" s="676"/>
      <c r="M8" s="676">
        <f>180</f>
        <v>180</v>
      </c>
      <c r="N8" s="676"/>
      <c r="O8" s="1173"/>
      <c r="P8" s="1171">
        <f t="shared" si="2"/>
        <v>1256</v>
      </c>
    </row>
    <row r="9" spans="2:16" hidden="1">
      <c r="B9" s="1172" t="s">
        <v>7</v>
      </c>
      <c r="C9" s="1174" t="s">
        <v>8</v>
      </c>
      <c r="D9" s="676"/>
      <c r="E9" s="676"/>
      <c r="F9" s="676"/>
      <c r="G9" s="676"/>
      <c r="H9" s="676"/>
      <c r="I9" s="676"/>
      <c r="J9" s="676"/>
      <c r="K9" s="1171">
        <v>450</v>
      </c>
      <c r="L9" s="676"/>
      <c r="M9" s="676"/>
      <c r="N9" s="676"/>
      <c r="O9" s="1173"/>
      <c r="P9" s="1171">
        <f t="shared" si="2"/>
        <v>450</v>
      </c>
    </row>
    <row r="10" spans="2:16" hidden="1">
      <c r="B10" s="1169" t="s">
        <v>9</v>
      </c>
      <c r="C10" s="1169" t="s">
        <v>10</v>
      </c>
      <c r="D10" s="676"/>
      <c r="E10" s="676"/>
      <c r="F10" s="676"/>
      <c r="G10" s="676">
        <f>100</f>
        <v>100</v>
      </c>
      <c r="H10" s="676">
        <f>32</f>
        <v>32</v>
      </c>
      <c r="I10" s="676"/>
      <c r="J10" s="676">
        <f>135</f>
        <v>135</v>
      </c>
      <c r="K10" s="1171"/>
      <c r="L10" s="676">
        <f>216</f>
        <v>216</v>
      </c>
      <c r="M10" s="676">
        <f>252</f>
        <v>252</v>
      </c>
      <c r="N10" s="676"/>
      <c r="O10" s="1173"/>
      <c r="P10" s="1171">
        <f t="shared" si="2"/>
        <v>735</v>
      </c>
    </row>
    <row r="11" spans="2:16" hidden="1">
      <c r="B11" s="1169" t="s">
        <v>11</v>
      </c>
      <c r="C11" s="1169" t="s">
        <v>12</v>
      </c>
      <c r="D11" s="676"/>
      <c r="E11" s="676"/>
      <c r="F11" s="676"/>
      <c r="G11" s="676"/>
      <c r="H11" s="676">
        <f>2400</f>
        <v>2400</v>
      </c>
      <c r="I11" s="676"/>
      <c r="J11" s="676"/>
      <c r="K11" s="1171"/>
      <c r="L11" s="676"/>
      <c r="M11" s="676"/>
      <c r="N11" s="676"/>
      <c r="O11" s="1173"/>
      <c r="P11" s="1171">
        <f t="shared" si="2"/>
        <v>2400</v>
      </c>
    </row>
    <row r="12" spans="2:16" hidden="1">
      <c r="B12" s="1169" t="s">
        <v>13</v>
      </c>
      <c r="C12" s="1169" t="s">
        <v>14</v>
      </c>
      <c r="D12" s="676"/>
      <c r="E12" s="676"/>
      <c r="F12" s="676"/>
      <c r="G12" s="676"/>
      <c r="H12" s="676"/>
      <c r="I12" s="676"/>
      <c r="J12" s="676"/>
      <c r="K12" s="1171"/>
      <c r="L12" s="676"/>
      <c r="M12" s="676">
        <f>500</f>
        <v>500</v>
      </c>
      <c r="N12" s="676"/>
      <c r="O12" s="1173"/>
      <c r="P12" s="1171">
        <f t="shared" si="2"/>
        <v>500</v>
      </c>
    </row>
    <row r="13" spans="2:16" hidden="1">
      <c r="B13" s="1175" t="s">
        <v>15</v>
      </c>
      <c r="C13" s="1175" t="s">
        <v>16</v>
      </c>
      <c r="D13" s="676"/>
      <c r="E13" s="676"/>
      <c r="F13" s="676"/>
      <c r="G13" s="676"/>
      <c r="H13" s="676"/>
      <c r="I13" s="676"/>
      <c r="J13" s="676">
        <f>940</f>
        <v>940</v>
      </c>
      <c r="K13" s="1171"/>
      <c r="L13" s="676"/>
      <c r="M13" s="676">
        <f>250</f>
        <v>250</v>
      </c>
      <c r="N13" s="676"/>
      <c r="O13" s="1173"/>
      <c r="P13" s="1171">
        <f t="shared" si="2"/>
        <v>1190</v>
      </c>
    </row>
    <row r="14" spans="2:16" hidden="1">
      <c r="B14" s="1175" t="s">
        <v>17</v>
      </c>
      <c r="C14" s="1175" t="s">
        <v>18</v>
      </c>
      <c r="D14" s="676"/>
      <c r="E14" s="676"/>
      <c r="F14" s="676"/>
      <c r="G14" s="676"/>
      <c r="H14" s="676"/>
      <c r="I14" s="676">
        <f>434</f>
        <v>434</v>
      </c>
      <c r="J14" s="676">
        <f>540</f>
        <v>540</v>
      </c>
      <c r="K14" s="1171"/>
      <c r="L14" s="676"/>
      <c r="M14" s="676">
        <f>9750</f>
        <v>9750</v>
      </c>
      <c r="N14" s="676"/>
      <c r="O14" s="1173"/>
      <c r="P14" s="1171">
        <f t="shared" si="2"/>
        <v>10724</v>
      </c>
    </row>
    <row r="15" spans="2:16" hidden="1">
      <c r="B15" s="1170" t="s">
        <v>21</v>
      </c>
      <c r="C15" s="1170" t="s">
        <v>22</v>
      </c>
      <c r="D15" s="676"/>
      <c r="E15" s="676">
        <v>10000</v>
      </c>
      <c r="F15" s="1171"/>
      <c r="G15" s="676"/>
      <c r="H15" s="676"/>
      <c r="I15" s="676"/>
      <c r="J15" s="676"/>
      <c r="K15" s="1171"/>
      <c r="L15" s="676"/>
      <c r="M15" s="676"/>
      <c r="N15" s="676"/>
      <c r="O15" s="1171"/>
      <c r="P15" s="1171">
        <f t="shared" si="2"/>
        <v>10000</v>
      </c>
    </row>
    <row r="16" spans="2:16" hidden="1">
      <c r="B16" s="1175" t="s">
        <v>19</v>
      </c>
      <c r="C16" s="1175" t="s">
        <v>20</v>
      </c>
      <c r="D16" s="676"/>
      <c r="E16" s="676"/>
      <c r="F16" s="676">
        <v>2000</v>
      </c>
      <c r="G16" s="676"/>
      <c r="H16" s="676"/>
      <c r="I16" s="676"/>
      <c r="J16" s="676"/>
      <c r="K16" s="1171"/>
      <c r="L16" s="676"/>
      <c r="M16" s="676"/>
      <c r="N16" s="676"/>
      <c r="O16" s="1173"/>
      <c r="P16" s="1171">
        <f t="shared" si="2"/>
        <v>2000</v>
      </c>
    </row>
    <row r="17" spans="2:16" hidden="1">
      <c r="B17" s="1170" t="s">
        <v>23</v>
      </c>
      <c r="C17" s="1170" t="s">
        <v>24</v>
      </c>
      <c r="D17" s="676">
        <v>10000</v>
      </c>
      <c r="E17" s="676">
        <v>20000</v>
      </c>
      <c r="F17" s="676">
        <f>14593</f>
        <v>14593</v>
      </c>
      <c r="G17" s="676"/>
      <c r="H17" s="676">
        <v>2260</v>
      </c>
      <c r="I17" s="676"/>
      <c r="J17" s="676">
        <f>480</f>
        <v>480</v>
      </c>
      <c r="K17" s="1171"/>
      <c r="L17" s="676">
        <f>26755</f>
        <v>26755</v>
      </c>
      <c r="M17" s="676"/>
      <c r="N17" s="676"/>
      <c r="O17" s="1171"/>
      <c r="P17" s="1171">
        <f t="shared" si="2"/>
        <v>74088</v>
      </c>
    </row>
    <row r="18" spans="2:16" hidden="1">
      <c r="B18" s="1170" t="s">
        <v>25</v>
      </c>
      <c r="C18" s="1170" t="s">
        <v>26</v>
      </c>
      <c r="D18" s="676"/>
      <c r="E18" s="676">
        <f>16440</f>
        <v>16440</v>
      </c>
      <c r="F18" s="676">
        <f>9980</f>
        <v>9980</v>
      </c>
      <c r="G18" s="676">
        <f>3320+1100</f>
        <v>4420</v>
      </c>
      <c r="H18" s="676"/>
      <c r="I18" s="676"/>
      <c r="J18" s="676"/>
      <c r="K18" s="1171"/>
      <c r="L18" s="676">
        <v>8500</v>
      </c>
      <c r="M18" s="676"/>
      <c r="N18" s="676">
        <f>15400</f>
        <v>15400</v>
      </c>
      <c r="O18" s="1171"/>
      <c r="P18" s="1171">
        <f t="shared" si="2"/>
        <v>54740</v>
      </c>
    </row>
    <row r="19" spans="2:16" hidden="1">
      <c r="B19" s="1175" t="s">
        <v>27</v>
      </c>
      <c r="C19" s="1175" t="s">
        <v>28</v>
      </c>
      <c r="D19" s="676"/>
      <c r="E19" s="676"/>
      <c r="F19" s="676"/>
      <c r="G19" s="676"/>
      <c r="H19" s="676"/>
      <c r="I19" s="676">
        <f>480</f>
        <v>480</v>
      </c>
      <c r="J19" s="676"/>
      <c r="K19" s="1171"/>
      <c r="L19" s="676"/>
      <c r="M19" s="676"/>
      <c r="N19" s="676"/>
      <c r="O19" s="1176"/>
      <c r="P19" s="1171">
        <f t="shared" si="2"/>
        <v>480</v>
      </c>
    </row>
    <row r="20" spans="2:16" hidden="1">
      <c r="B20" s="1175" t="s">
        <v>29</v>
      </c>
      <c r="C20" s="1175" t="s">
        <v>30</v>
      </c>
      <c r="D20" s="676"/>
      <c r="E20" s="676"/>
      <c r="F20" s="676"/>
      <c r="G20" s="676"/>
      <c r="H20" s="676"/>
      <c r="I20" s="676"/>
      <c r="J20" s="676"/>
      <c r="K20" s="1171"/>
      <c r="L20" s="676"/>
      <c r="M20" s="676"/>
      <c r="N20" s="676"/>
      <c r="O20" s="1176"/>
      <c r="P20" s="1171">
        <f t="shared" si="2"/>
        <v>0</v>
      </c>
    </row>
    <row r="21" spans="2:16" hidden="1">
      <c r="B21" s="1175" t="s">
        <v>31</v>
      </c>
      <c r="C21" s="1175" t="s">
        <v>32</v>
      </c>
      <c r="D21" s="676"/>
      <c r="E21" s="676"/>
      <c r="F21" s="676"/>
      <c r="G21" s="676"/>
      <c r="H21" s="676"/>
      <c r="I21" s="676"/>
      <c r="J21" s="676"/>
      <c r="K21" s="1171"/>
      <c r="L21" s="676"/>
      <c r="M21" s="676">
        <f>40</f>
        <v>40</v>
      </c>
      <c r="N21" s="676"/>
      <c r="O21" s="1176"/>
      <c r="P21" s="1171">
        <f t="shared" si="2"/>
        <v>40</v>
      </c>
    </row>
    <row r="22" spans="2:16" hidden="1">
      <c r="B22" s="1175" t="s">
        <v>33</v>
      </c>
      <c r="C22" s="1175" t="s">
        <v>34</v>
      </c>
      <c r="D22" s="676"/>
      <c r="E22" s="676"/>
      <c r="F22" s="676"/>
      <c r="G22" s="676">
        <f>175</f>
        <v>175</v>
      </c>
      <c r="H22" s="676">
        <v>150</v>
      </c>
      <c r="I22" s="676"/>
      <c r="J22" s="676"/>
      <c r="K22" s="1171"/>
      <c r="L22" s="676"/>
      <c r="M22" s="676"/>
      <c r="N22" s="676"/>
      <c r="O22" s="1176"/>
      <c r="P22" s="1171">
        <f t="shared" si="2"/>
        <v>325</v>
      </c>
    </row>
    <row r="23" spans="2:16" hidden="1">
      <c r="B23" s="1175" t="s">
        <v>35</v>
      </c>
      <c r="C23" s="1175" t="s">
        <v>36</v>
      </c>
      <c r="D23" s="676"/>
      <c r="E23" s="676"/>
      <c r="F23" s="676"/>
      <c r="G23" s="676"/>
      <c r="H23" s="676">
        <f>273</f>
        <v>273</v>
      </c>
      <c r="I23" s="676"/>
      <c r="J23" s="676"/>
      <c r="K23" s="1171"/>
      <c r="L23" s="676"/>
      <c r="M23" s="676"/>
      <c r="N23" s="676"/>
      <c r="O23" s="1176"/>
      <c r="P23" s="1171">
        <f t="shared" si="2"/>
        <v>273</v>
      </c>
    </row>
    <row r="24" spans="2:16" hidden="1">
      <c r="B24" s="1169" t="s">
        <v>37</v>
      </c>
      <c r="C24" s="1169" t="s">
        <v>38</v>
      </c>
      <c r="D24" s="676"/>
      <c r="E24" s="676"/>
      <c r="F24" s="676">
        <f>40</f>
        <v>40</v>
      </c>
      <c r="G24" s="676"/>
      <c r="H24" s="676"/>
      <c r="I24" s="676"/>
      <c r="J24" s="676"/>
      <c r="K24" s="1171">
        <v>95</v>
      </c>
      <c r="L24" s="676">
        <f>370+46</f>
        <v>416</v>
      </c>
      <c r="M24" s="676">
        <f>45+275</f>
        <v>320</v>
      </c>
      <c r="N24" s="676"/>
      <c r="O24" s="1173"/>
      <c r="P24" s="1171">
        <f t="shared" si="2"/>
        <v>871</v>
      </c>
    </row>
    <row r="25" spans="2:16" hidden="1">
      <c r="B25" s="1175" t="s">
        <v>39</v>
      </c>
      <c r="C25" s="1175" t="s">
        <v>40</v>
      </c>
      <c r="D25" s="676"/>
      <c r="E25" s="676"/>
      <c r="F25" s="676"/>
      <c r="G25" s="676"/>
      <c r="H25" s="676"/>
      <c r="I25" s="676">
        <f>550</f>
        <v>550</v>
      </c>
      <c r="J25" s="676">
        <f>550</f>
        <v>550</v>
      </c>
      <c r="K25" s="1171"/>
      <c r="L25" s="676"/>
      <c r="M25" s="676"/>
      <c r="N25" s="676"/>
      <c r="O25" s="1173"/>
      <c r="P25" s="1171">
        <f t="shared" si="2"/>
        <v>1100</v>
      </c>
    </row>
    <row r="26" spans="2:16" s="1220" customFormat="1" hidden="1">
      <c r="B26" s="1391" t="s">
        <v>156</v>
      </c>
      <c r="C26" s="1391" t="s">
        <v>41</v>
      </c>
      <c r="D26" s="1392"/>
      <c r="E26" s="1392"/>
      <c r="F26" s="1393"/>
      <c r="G26" s="1392"/>
      <c r="H26" s="1392"/>
      <c r="I26" s="1392"/>
      <c r="J26" s="1392"/>
      <c r="K26" s="1393"/>
      <c r="L26" s="1392"/>
      <c r="M26" s="1392"/>
      <c r="N26" s="1392"/>
      <c r="O26" s="1393"/>
      <c r="P26" s="1393">
        <f t="shared" si="2"/>
        <v>0</v>
      </c>
    </row>
    <row r="27" spans="2:16" hidden="1">
      <c r="B27" s="1170" t="s">
        <v>48</v>
      </c>
      <c r="C27" s="1170" t="s">
        <v>49</v>
      </c>
      <c r="D27" s="1171"/>
      <c r="E27" s="676"/>
      <c r="F27" s="1171">
        <f>1150+4245</f>
        <v>5395</v>
      </c>
      <c r="G27" s="676"/>
      <c r="H27" s="676">
        <f>650+900</f>
        <v>1550</v>
      </c>
      <c r="I27" s="676"/>
      <c r="J27" s="676">
        <f>230+670</f>
        <v>900</v>
      </c>
      <c r="K27" s="1171"/>
      <c r="L27" s="676">
        <f>145</f>
        <v>145</v>
      </c>
      <c r="M27" s="676"/>
      <c r="N27" s="676">
        <f>125+145+1380+600</f>
        <v>2250</v>
      </c>
      <c r="O27" s="676">
        <v>20000</v>
      </c>
      <c r="P27" s="1171">
        <f t="shared" si="2"/>
        <v>30240</v>
      </c>
    </row>
    <row r="28" spans="2:16" hidden="1">
      <c r="B28" s="1175" t="s">
        <v>46</v>
      </c>
      <c r="C28" s="1175" t="s">
        <v>47</v>
      </c>
      <c r="D28" s="676"/>
      <c r="E28" s="676"/>
      <c r="F28" s="1171">
        <f>2100</f>
        <v>2100</v>
      </c>
      <c r="G28" s="676"/>
      <c r="H28" s="676"/>
      <c r="I28" s="676"/>
      <c r="J28" s="676"/>
      <c r="K28" s="1171"/>
      <c r="L28" s="676">
        <f>965</f>
        <v>965</v>
      </c>
      <c r="M28" s="676"/>
      <c r="N28" s="676">
        <f>700</f>
        <v>700</v>
      </c>
      <c r="O28" s="1171"/>
      <c r="P28" s="1171">
        <f t="shared" si="2"/>
        <v>3765</v>
      </c>
    </row>
    <row r="29" spans="2:16" hidden="1">
      <c r="B29" s="1170" t="s">
        <v>42</v>
      </c>
      <c r="C29" s="1170" t="s">
        <v>43</v>
      </c>
      <c r="D29" s="676">
        <v>2000</v>
      </c>
      <c r="E29" s="676"/>
      <c r="F29" s="1171"/>
      <c r="G29" s="676"/>
      <c r="H29" s="676"/>
      <c r="I29" s="676"/>
      <c r="J29" s="676"/>
      <c r="K29" s="1171"/>
      <c r="L29" s="676">
        <f>595</f>
        <v>595</v>
      </c>
      <c r="M29" s="676"/>
      <c r="N29" s="676">
        <f>940</f>
        <v>940</v>
      </c>
      <c r="O29" s="1171"/>
      <c r="P29" s="1171">
        <f t="shared" si="2"/>
        <v>3535</v>
      </c>
    </row>
    <row r="30" spans="2:16" hidden="1">
      <c r="B30" s="1177" t="s">
        <v>44</v>
      </c>
      <c r="C30" s="1178" t="s">
        <v>45</v>
      </c>
      <c r="D30" s="676"/>
      <c r="E30" s="676"/>
      <c r="F30" s="1171"/>
      <c r="G30" s="676"/>
      <c r="H30" s="676"/>
      <c r="I30" s="676"/>
      <c r="J30" s="676"/>
      <c r="K30" s="1171"/>
      <c r="L30" s="676">
        <f>62</f>
        <v>62</v>
      </c>
      <c r="M30" s="676"/>
      <c r="N30" s="676"/>
      <c r="O30" s="1171"/>
      <c r="P30" s="1171">
        <f t="shared" si="2"/>
        <v>62</v>
      </c>
    </row>
    <row r="31" spans="2:16" hidden="1">
      <c r="B31" s="1169" t="s">
        <v>50</v>
      </c>
      <c r="C31" s="1169" t="s">
        <v>51</v>
      </c>
      <c r="D31" s="676"/>
      <c r="E31" s="676">
        <f>675</f>
        <v>675</v>
      </c>
      <c r="F31" s="676"/>
      <c r="G31" s="676"/>
      <c r="H31" s="676"/>
      <c r="I31" s="676"/>
      <c r="J31" s="676"/>
      <c r="K31" s="1171"/>
      <c r="L31" s="676"/>
      <c r="M31" s="676"/>
      <c r="N31" s="676"/>
      <c r="O31" s="1173"/>
      <c r="P31" s="1171">
        <f t="shared" si="2"/>
        <v>675</v>
      </c>
    </row>
    <row r="32" spans="2:16" hidden="1">
      <c r="B32" s="1169" t="s">
        <v>52</v>
      </c>
      <c r="C32" s="1169" t="s">
        <v>53</v>
      </c>
      <c r="D32" s="676"/>
      <c r="E32" s="676"/>
      <c r="F32" s="676"/>
      <c r="G32" s="676"/>
      <c r="H32" s="676"/>
      <c r="I32" s="676"/>
      <c r="J32" s="676"/>
      <c r="K32" s="1171"/>
      <c r="L32" s="676"/>
      <c r="M32" s="676">
        <f>266</f>
        <v>266</v>
      </c>
      <c r="N32" s="676"/>
      <c r="O32" s="1173"/>
      <c r="P32" s="1171">
        <f t="shared" si="2"/>
        <v>266</v>
      </c>
    </row>
    <row r="33" spans="2:16" hidden="1">
      <c r="B33" s="1175" t="s">
        <v>68</v>
      </c>
      <c r="C33" s="1175" t="s">
        <v>69</v>
      </c>
      <c r="D33" s="676"/>
      <c r="E33" s="676"/>
      <c r="F33" s="676"/>
      <c r="G33" s="676"/>
      <c r="H33" s="676"/>
      <c r="I33" s="676"/>
      <c r="J33" s="676"/>
      <c r="K33" s="1171"/>
      <c r="L33" s="676">
        <f>165</f>
        <v>165</v>
      </c>
      <c r="M33" s="676"/>
      <c r="N33" s="676"/>
      <c r="O33" s="1173"/>
      <c r="P33" s="1171">
        <f t="shared" si="2"/>
        <v>165</v>
      </c>
    </row>
    <row r="34" spans="2:16" hidden="1">
      <c r="B34" s="1177" t="s">
        <v>54</v>
      </c>
      <c r="C34" s="1178" t="s">
        <v>55</v>
      </c>
      <c r="D34" s="676"/>
      <c r="E34" s="676"/>
      <c r="F34" s="676"/>
      <c r="G34" s="676"/>
      <c r="H34" s="676"/>
      <c r="I34" s="676"/>
      <c r="J34" s="676"/>
      <c r="K34" s="1171"/>
      <c r="L34" s="676">
        <f>168+1300</f>
        <v>1468</v>
      </c>
      <c r="M34" s="676"/>
      <c r="N34" s="676"/>
      <c r="O34" s="1173"/>
      <c r="P34" s="1171">
        <f t="shared" si="2"/>
        <v>1468</v>
      </c>
    </row>
    <row r="35" spans="2:16" hidden="1">
      <c r="B35" s="1175" t="s">
        <v>58</v>
      </c>
      <c r="C35" s="1175" t="s">
        <v>59</v>
      </c>
      <c r="D35" s="676"/>
      <c r="E35" s="676"/>
      <c r="F35" s="676">
        <f>625+1750+880</f>
        <v>3255</v>
      </c>
      <c r="G35" s="676"/>
      <c r="H35" s="676"/>
      <c r="I35" s="676"/>
      <c r="J35" s="676"/>
      <c r="K35" s="1171"/>
      <c r="L35" s="676">
        <f>795</f>
        <v>795</v>
      </c>
      <c r="M35" s="676"/>
      <c r="N35" s="676"/>
      <c r="O35" s="1176"/>
      <c r="P35" s="1171">
        <f t="shared" si="2"/>
        <v>4050</v>
      </c>
    </row>
    <row r="36" spans="2:16" hidden="1">
      <c r="B36" s="1177" t="s">
        <v>56</v>
      </c>
      <c r="C36" s="1178" t="s">
        <v>57</v>
      </c>
      <c r="D36" s="676"/>
      <c r="E36" s="676"/>
      <c r="F36" s="676"/>
      <c r="G36" s="676"/>
      <c r="H36" s="676"/>
      <c r="I36" s="676"/>
      <c r="J36" s="676"/>
      <c r="K36" s="1171"/>
      <c r="L36" s="676">
        <f>760</f>
        <v>760</v>
      </c>
      <c r="M36" s="676"/>
      <c r="N36" s="676"/>
      <c r="O36" s="1173"/>
      <c r="P36" s="1171">
        <f t="shared" si="2"/>
        <v>760</v>
      </c>
    </row>
    <row r="37" spans="2:16" hidden="1">
      <c r="B37" s="1175" t="s">
        <v>60</v>
      </c>
      <c r="C37" s="1175" t="s">
        <v>61</v>
      </c>
      <c r="D37" s="676"/>
      <c r="E37" s="676">
        <v>1790</v>
      </c>
      <c r="F37" s="676">
        <f>775</f>
        <v>775</v>
      </c>
      <c r="G37" s="676"/>
      <c r="H37" s="676"/>
      <c r="I37" s="676"/>
      <c r="J37" s="676">
        <f>48</f>
        <v>48</v>
      </c>
      <c r="K37" s="1171"/>
      <c r="L37" s="676">
        <f>44+8</f>
        <v>52</v>
      </c>
      <c r="M37" s="676"/>
      <c r="N37" s="676"/>
      <c r="O37" s="1176"/>
      <c r="P37" s="1171">
        <f t="shared" si="2"/>
        <v>2665</v>
      </c>
    </row>
    <row r="38" spans="2:16" hidden="1">
      <c r="B38" s="1169" t="s">
        <v>62</v>
      </c>
      <c r="C38" s="1169" t="s">
        <v>63</v>
      </c>
      <c r="D38" s="676"/>
      <c r="E38" s="676"/>
      <c r="F38" s="676"/>
      <c r="G38" s="676"/>
      <c r="H38" s="676">
        <f>347</f>
        <v>347</v>
      </c>
      <c r="I38" s="676"/>
      <c r="J38" s="676"/>
      <c r="K38" s="1171"/>
      <c r="L38" s="676">
        <v>500</v>
      </c>
      <c r="M38" s="676">
        <f>400</f>
        <v>400</v>
      </c>
      <c r="N38" s="676"/>
      <c r="O38" s="1173"/>
      <c r="P38" s="1171">
        <f t="shared" si="2"/>
        <v>1247</v>
      </c>
    </row>
    <row r="39" spans="2:16" hidden="1">
      <c r="B39" s="1175" t="s">
        <v>66</v>
      </c>
      <c r="C39" s="1175" t="s">
        <v>67</v>
      </c>
      <c r="D39" s="676"/>
      <c r="E39" s="676"/>
      <c r="F39" s="676"/>
      <c r="G39" s="676">
        <f>530</f>
        <v>530</v>
      </c>
      <c r="H39" s="676"/>
      <c r="I39" s="676"/>
      <c r="J39" s="676"/>
      <c r="K39" s="1171"/>
      <c r="L39" s="676"/>
      <c r="M39" s="676"/>
      <c r="N39" s="676"/>
      <c r="O39" s="1173"/>
      <c r="P39" s="1171">
        <f t="shared" si="2"/>
        <v>530</v>
      </c>
    </row>
    <row r="40" spans="2:16" hidden="1">
      <c r="B40" s="1175" t="s">
        <v>64</v>
      </c>
      <c r="C40" s="1175" t="s">
        <v>65</v>
      </c>
      <c r="D40" s="676"/>
      <c r="E40" s="676"/>
      <c r="F40" s="676"/>
      <c r="G40" s="676"/>
      <c r="H40" s="676"/>
      <c r="I40" s="676"/>
      <c r="J40" s="676"/>
      <c r="K40" s="1171"/>
      <c r="L40" s="676"/>
      <c r="M40" s="676"/>
      <c r="N40" s="676"/>
      <c r="O40" s="1173"/>
      <c r="P40" s="1171">
        <f t="shared" si="2"/>
        <v>0</v>
      </c>
    </row>
    <row r="41" spans="2:16" hidden="1">
      <c r="B41" s="1175" t="s">
        <v>70</v>
      </c>
      <c r="C41" s="1175" t="s">
        <v>71</v>
      </c>
      <c r="D41" s="676"/>
      <c r="E41" s="676"/>
      <c r="F41" s="676"/>
      <c r="G41" s="676"/>
      <c r="H41" s="676"/>
      <c r="I41" s="676"/>
      <c r="J41" s="676"/>
      <c r="K41" s="1171"/>
      <c r="L41" s="676">
        <v>1000</v>
      </c>
      <c r="M41" s="676"/>
      <c r="N41" s="676"/>
      <c r="O41" s="1173"/>
      <c r="P41" s="1171">
        <f t="shared" si="2"/>
        <v>1000</v>
      </c>
    </row>
    <row r="42" spans="2:16" hidden="1">
      <c r="B42" s="1175" t="s">
        <v>72</v>
      </c>
      <c r="C42" s="1175" t="s">
        <v>73</v>
      </c>
      <c r="D42" s="676"/>
      <c r="E42" s="676"/>
      <c r="F42" s="676">
        <f>575</f>
        <v>575</v>
      </c>
      <c r="G42" s="676"/>
      <c r="H42" s="676"/>
      <c r="I42" s="676"/>
      <c r="J42" s="676"/>
      <c r="K42" s="1171"/>
      <c r="L42" s="676">
        <f>1060+490</f>
        <v>1550</v>
      </c>
      <c r="M42" s="676"/>
      <c r="N42" s="676">
        <f>190+2580</f>
        <v>2770</v>
      </c>
      <c r="O42" s="1173"/>
      <c r="P42" s="1171">
        <f t="shared" si="2"/>
        <v>4895</v>
      </c>
    </row>
    <row r="43" spans="2:16" hidden="1">
      <c r="B43" s="1170" t="s">
        <v>76</v>
      </c>
      <c r="C43" s="1170" t="s">
        <v>77</v>
      </c>
      <c r="D43" s="676"/>
      <c r="E43" s="676"/>
      <c r="F43" s="676"/>
      <c r="G43" s="676"/>
      <c r="H43" s="676">
        <f>2530</f>
        <v>2530</v>
      </c>
      <c r="I43" s="676"/>
      <c r="J43" s="676"/>
      <c r="K43" s="1171"/>
      <c r="L43" s="676"/>
      <c r="M43" s="676"/>
      <c r="N43" s="676">
        <f>1900</f>
        <v>1900</v>
      </c>
      <c r="O43" s="1173"/>
      <c r="P43" s="1171">
        <f t="shared" si="2"/>
        <v>4430</v>
      </c>
    </row>
    <row r="44" spans="2:16" hidden="1">
      <c r="B44" s="1175" t="s">
        <v>74</v>
      </c>
      <c r="C44" s="1175" t="s">
        <v>75</v>
      </c>
      <c r="D44" s="676"/>
      <c r="E44" s="676"/>
      <c r="F44" s="676"/>
      <c r="G44" s="676"/>
      <c r="H44" s="676"/>
      <c r="I44" s="676">
        <f>120</f>
        <v>120</v>
      </c>
      <c r="J44" s="676"/>
      <c r="K44" s="1171"/>
      <c r="L44" s="676"/>
      <c r="M44" s="676"/>
      <c r="N44" s="676"/>
      <c r="O44" s="1173"/>
      <c r="P44" s="1171">
        <f t="shared" si="2"/>
        <v>120</v>
      </c>
    </row>
    <row r="45" spans="2:16" hidden="1">
      <c r="B45" s="1172" t="s">
        <v>78</v>
      </c>
      <c r="C45" s="1174" t="s">
        <v>79</v>
      </c>
      <c r="D45" s="676"/>
      <c r="E45" s="676"/>
      <c r="F45" s="676"/>
      <c r="G45" s="676"/>
      <c r="H45" s="676"/>
      <c r="I45" s="676"/>
      <c r="J45" s="676">
        <f>2800</f>
        <v>2800</v>
      </c>
      <c r="K45" s="1171">
        <f>4450</f>
        <v>4450</v>
      </c>
      <c r="L45" s="676"/>
      <c r="M45" s="676"/>
      <c r="N45" s="676"/>
      <c r="O45" s="1173"/>
      <c r="P45" s="1171">
        <f t="shared" si="2"/>
        <v>7250</v>
      </c>
    </row>
    <row r="46" spans="2:16" s="680" customFormat="1" hidden="1">
      <c r="B46" s="1191" t="s">
        <v>80</v>
      </c>
      <c r="C46" s="1191" t="s">
        <v>81</v>
      </c>
      <c r="D46" s="676"/>
      <c r="E46" s="676"/>
      <c r="F46" s="676"/>
      <c r="G46" s="676"/>
      <c r="H46" s="676"/>
      <c r="I46" s="676"/>
      <c r="J46" s="676"/>
      <c r="K46" s="1171"/>
      <c r="L46" s="676"/>
      <c r="M46" s="676">
        <v>15000</v>
      </c>
      <c r="N46" s="676"/>
      <c r="O46" s="1173"/>
      <c r="P46" s="1171">
        <f t="shared" si="2"/>
        <v>15000</v>
      </c>
    </row>
    <row r="47" spans="2:16" hidden="1">
      <c r="B47" s="687" t="s">
        <v>82</v>
      </c>
      <c r="C47" s="1170" t="s">
        <v>83</v>
      </c>
      <c r="D47" s="676"/>
      <c r="E47" s="676"/>
      <c r="F47" s="676"/>
      <c r="G47" s="676"/>
      <c r="H47" s="676"/>
      <c r="I47" s="676"/>
      <c r="J47" s="676"/>
      <c r="K47" s="1171"/>
      <c r="L47" s="676"/>
      <c r="M47" s="676"/>
      <c r="N47" s="676"/>
      <c r="O47" s="1173"/>
      <c r="P47" s="1171">
        <f t="shared" si="2"/>
        <v>0</v>
      </c>
    </row>
    <row r="48" spans="2:16" hidden="1">
      <c r="B48" s="687" t="s">
        <v>84</v>
      </c>
      <c r="C48" s="1170" t="s">
        <v>85</v>
      </c>
      <c r="D48" s="676"/>
      <c r="E48" s="676"/>
      <c r="F48" s="676"/>
      <c r="G48" s="676"/>
      <c r="H48" s="676"/>
      <c r="I48" s="676"/>
      <c r="J48" s="676"/>
      <c r="K48" s="1171"/>
      <c r="L48" s="676"/>
      <c r="M48" s="676"/>
      <c r="N48" s="676"/>
      <c r="O48" s="1173"/>
      <c r="P48" s="1171">
        <f t="shared" si="2"/>
        <v>0</v>
      </c>
    </row>
    <row r="49" spans="2:16" ht="39" hidden="1">
      <c r="B49" s="1179" t="s">
        <v>88</v>
      </c>
      <c r="C49" s="1169" t="s">
        <v>89</v>
      </c>
      <c r="D49" s="676"/>
      <c r="E49" s="676"/>
      <c r="F49" s="676">
        <f>107+(860-860)+428+75+85</f>
        <v>695</v>
      </c>
      <c r="G49" s="676"/>
      <c r="H49" s="676">
        <f>37+160+80</f>
        <v>277</v>
      </c>
      <c r="I49" s="676">
        <f>380+750+20+80</f>
        <v>1230</v>
      </c>
      <c r="J49" s="676">
        <f>262+302+532+1288</f>
        <v>2384</v>
      </c>
      <c r="K49" s="1171"/>
      <c r="L49" s="676"/>
      <c r="M49" s="676">
        <v>200</v>
      </c>
      <c r="N49" s="676"/>
      <c r="O49" s="1173"/>
      <c r="P49" s="1171">
        <f t="shared" si="2"/>
        <v>4786</v>
      </c>
    </row>
    <row r="50" spans="2:16" hidden="1">
      <c r="B50" s="1177" t="s">
        <v>86</v>
      </c>
      <c r="C50" s="1178" t="s">
        <v>87</v>
      </c>
      <c r="D50" s="676"/>
      <c r="E50" s="676"/>
      <c r="F50" s="676"/>
      <c r="G50" s="676"/>
      <c r="H50" s="676"/>
      <c r="I50" s="676"/>
      <c r="J50" s="676"/>
      <c r="K50" s="1171"/>
      <c r="L50" s="676">
        <v>45</v>
      </c>
      <c r="M50" s="676"/>
      <c r="N50" s="676"/>
      <c r="O50" s="1173"/>
      <c r="P50" s="1171">
        <f t="shared" si="2"/>
        <v>45</v>
      </c>
    </row>
    <row r="51" spans="2:16" hidden="1">
      <c r="B51" s="1177" t="s">
        <v>148</v>
      </c>
      <c r="C51" s="1178" t="s">
        <v>90</v>
      </c>
      <c r="D51" s="676"/>
      <c r="E51" s="676"/>
      <c r="F51" s="676"/>
      <c r="G51" s="676"/>
      <c r="H51" s="676"/>
      <c r="I51" s="676"/>
      <c r="J51" s="676"/>
      <c r="K51" s="1171"/>
      <c r="L51" s="676"/>
      <c r="M51" s="676"/>
      <c r="N51" s="676"/>
      <c r="O51" s="1173"/>
      <c r="P51" s="1171">
        <f t="shared" si="2"/>
        <v>0</v>
      </c>
    </row>
    <row r="52" spans="2:16" hidden="1">
      <c r="B52" s="1169" t="s">
        <v>91</v>
      </c>
      <c r="C52" s="1170" t="s">
        <v>92</v>
      </c>
      <c r="D52" s="676"/>
      <c r="E52" s="676"/>
      <c r="F52" s="676"/>
      <c r="G52" s="676"/>
      <c r="H52" s="676"/>
      <c r="I52" s="676"/>
      <c r="J52" s="676"/>
      <c r="K52" s="1171"/>
      <c r="L52" s="676"/>
      <c r="M52" s="676"/>
      <c r="N52" s="676"/>
      <c r="O52" s="1171"/>
      <c r="P52" s="1171">
        <f t="shared" si="2"/>
        <v>0</v>
      </c>
    </row>
    <row r="53" spans="2:16" hidden="1">
      <c r="B53" s="1180" t="s">
        <v>93</v>
      </c>
      <c r="C53" s="1175" t="s">
        <v>94</v>
      </c>
      <c r="D53" s="676"/>
      <c r="E53" s="676"/>
      <c r="F53" s="676"/>
      <c r="G53" s="676"/>
      <c r="H53" s="676"/>
      <c r="I53" s="676">
        <f>499*2</f>
        <v>998</v>
      </c>
      <c r="J53" s="676">
        <f>850</f>
        <v>850</v>
      </c>
      <c r="K53" s="1171"/>
      <c r="L53" s="676"/>
      <c r="M53" s="676"/>
      <c r="N53" s="676"/>
      <c r="O53" s="1176"/>
      <c r="P53" s="1171">
        <f t="shared" si="2"/>
        <v>1848</v>
      </c>
    </row>
    <row r="54" spans="2:16" hidden="1">
      <c r="B54" s="1175" t="s">
        <v>95</v>
      </c>
      <c r="C54" s="1175" t="s">
        <v>96</v>
      </c>
      <c r="D54" s="676"/>
      <c r="E54" s="676"/>
      <c r="F54" s="676"/>
      <c r="G54" s="676"/>
      <c r="H54" s="676"/>
      <c r="I54" s="676"/>
      <c r="J54" s="676">
        <f>175</f>
        <v>175</v>
      </c>
      <c r="K54" s="1171"/>
      <c r="L54" s="676"/>
      <c r="M54" s="676"/>
      <c r="N54" s="676"/>
      <c r="O54" s="1176"/>
      <c r="P54" s="1171">
        <f t="shared" si="2"/>
        <v>175</v>
      </c>
    </row>
    <row r="55" spans="2:16" hidden="1">
      <c r="B55" s="687" t="s">
        <v>97</v>
      </c>
      <c r="C55" s="1170" t="s">
        <v>98</v>
      </c>
      <c r="D55" s="676"/>
      <c r="E55" s="676"/>
      <c r="F55" s="676"/>
      <c r="G55" s="676"/>
      <c r="H55" s="676">
        <f>169</f>
        <v>169</v>
      </c>
      <c r="I55" s="676"/>
      <c r="J55" s="676"/>
      <c r="K55" s="1171"/>
      <c r="L55" s="676"/>
      <c r="M55" s="676"/>
      <c r="N55" s="676"/>
      <c r="O55" s="1171"/>
      <c r="P55" s="1171">
        <f t="shared" si="2"/>
        <v>169</v>
      </c>
    </row>
    <row r="56" spans="2:16" hidden="1">
      <c r="B56" s="1180" t="s">
        <v>99</v>
      </c>
      <c r="C56" s="1170" t="s">
        <v>100</v>
      </c>
      <c r="D56" s="676"/>
      <c r="E56" s="676"/>
      <c r="F56" s="676">
        <f>649</f>
        <v>649</v>
      </c>
      <c r="G56" s="676"/>
      <c r="H56" s="676">
        <f>450</f>
        <v>450</v>
      </c>
      <c r="I56" s="676">
        <f>1595</f>
        <v>1595</v>
      </c>
      <c r="J56" s="676"/>
      <c r="K56" s="1171"/>
      <c r="L56" s="676"/>
      <c r="M56" s="676">
        <f>2730</f>
        <v>2730</v>
      </c>
      <c r="N56" s="676"/>
      <c r="O56" s="1171"/>
      <c r="P56" s="1171">
        <f t="shared" si="2"/>
        <v>5424</v>
      </c>
    </row>
    <row r="57" spans="2:16" hidden="1">
      <c r="B57" s="1175" t="s">
        <v>102</v>
      </c>
      <c r="C57" s="1175" t="s">
        <v>103</v>
      </c>
      <c r="D57" s="676"/>
      <c r="E57" s="676">
        <f>9620</f>
        <v>9620</v>
      </c>
      <c r="F57" s="676"/>
      <c r="G57" s="676"/>
      <c r="H57" s="676">
        <f>6250+7800</f>
        <v>14050</v>
      </c>
      <c r="I57" s="676"/>
      <c r="J57" s="676">
        <f>5600+80</f>
        <v>5680</v>
      </c>
      <c r="K57" s="1171">
        <f>4794</f>
        <v>4794</v>
      </c>
      <c r="L57" s="676"/>
      <c r="M57" s="676">
        <f>1720</f>
        <v>1720</v>
      </c>
      <c r="N57" s="676"/>
      <c r="O57" s="1176"/>
      <c r="P57" s="1171">
        <f t="shared" si="2"/>
        <v>35864</v>
      </c>
    </row>
    <row r="58" spans="2:16" hidden="1">
      <c r="B58" s="1175" t="s">
        <v>104</v>
      </c>
      <c r="C58" s="1175" t="s">
        <v>105</v>
      </c>
      <c r="D58" s="676"/>
      <c r="E58" s="676"/>
      <c r="F58" s="676"/>
      <c r="G58" s="676"/>
      <c r="H58" s="676"/>
      <c r="I58" s="676"/>
      <c r="J58" s="676"/>
      <c r="K58" s="1171">
        <f>35+1650</f>
        <v>1685</v>
      </c>
      <c r="L58" s="676"/>
      <c r="M58" s="676"/>
      <c r="N58" s="676"/>
      <c r="O58" s="1176"/>
      <c r="P58" s="1171">
        <f t="shared" si="2"/>
        <v>1685</v>
      </c>
    </row>
    <row r="59" spans="2:16" ht="39" hidden="1">
      <c r="B59" s="1180" t="s">
        <v>106</v>
      </c>
      <c r="C59" s="1175" t="s">
        <v>107</v>
      </c>
      <c r="D59" s="676">
        <v>2250</v>
      </c>
      <c r="E59" s="676"/>
      <c r="F59" s="676"/>
      <c r="G59" s="676"/>
      <c r="H59" s="676"/>
      <c r="I59" s="676"/>
      <c r="J59" s="676"/>
      <c r="K59" s="1171"/>
      <c r="L59" s="676"/>
      <c r="M59" s="676"/>
      <c r="N59" s="676"/>
      <c r="O59" s="1176"/>
      <c r="P59" s="1171">
        <f t="shared" si="2"/>
        <v>2250</v>
      </c>
    </row>
    <row r="60" spans="2:16" hidden="1">
      <c r="B60" s="1175" t="s">
        <v>149</v>
      </c>
      <c r="C60" s="1175" t="s">
        <v>101</v>
      </c>
      <c r="D60" s="676"/>
      <c r="E60" s="676"/>
      <c r="F60" s="676"/>
      <c r="G60" s="676"/>
      <c r="H60" s="676"/>
      <c r="I60" s="676"/>
      <c r="J60" s="676"/>
      <c r="K60" s="1171"/>
      <c r="L60" s="676"/>
      <c r="M60" s="676"/>
      <c r="N60" s="676"/>
      <c r="O60" s="1171"/>
      <c r="P60" s="1171">
        <f t="shared" si="2"/>
        <v>0</v>
      </c>
    </row>
    <row r="61" spans="2:16" hidden="1">
      <c r="B61" s="1175" t="s">
        <v>108</v>
      </c>
      <c r="C61" s="1175" t="s">
        <v>109</v>
      </c>
      <c r="D61" s="676"/>
      <c r="E61" s="676"/>
      <c r="F61" s="676"/>
      <c r="G61" s="676"/>
      <c r="H61" s="676"/>
      <c r="I61" s="676"/>
      <c r="J61" s="676"/>
      <c r="K61" s="1171"/>
      <c r="L61" s="676">
        <f>35</f>
        <v>35</v>
      </c>
      <c r="M61" s="676"/>
      <c r="N61" s="676"/>
      <c r="O61" s="1176"/>
      <c r="P61" s="1171">
        <f t="shared" si="2"/>
        <v>35</v>
      </c>
    </row>
    <row r="62" spans="2:16" hidden="1">
      <c r="B62" s="1175" t="s">
        <v>110</v>
      </c>
      <c r="C62" s="1175" t="s">
        <v>111</v>
      </c>
      <c r="D62" s="676"/>
      <c r="E62" s="676">
        <f>5040+850</f>
        <v>5890</v>
      </c>
      <c r="F62" s="676">
        <f>698</f>
        <v>698</v>
      </c>
      <c r="G62" s="676"/>
      <c r="H62" s="676"/>
      <c r="I62" s="676"/>
      <c r="J62" s="676"/>
      <c r="K62" s="1171"/>
      <c r="L62" s="676">
        <f>30+119</f>
        <v>149</v>
      </c>
      <c r="M62" s="676"/>
      <c r="N62" s="676"/>
      <c r="O62" s="1176"/>
      <c r="P62" s="1171">
        <f t="shared" si="2"/>
        <v>6737</v>
      </c>
    </row>
    <row r="63" spans="2:16" hidden="1">
      <c r="B63" s="1175" t="s">
        <v>112</v>
      </c>
      <c r="C63" s="1175" t="s">
        <v>113</v>
      </c>
      <c r="D63" s="676"/>
      <c r="E63" s="676">
        <v>1138</v>
      </c>
      <c r="F63" s="676">
        <f>110</f>
        <v>110</v>
      </c>
      <c r="G63" s="676">
        <f>45</f>
        <v>45</v>
      </c>
      <c r="H63" s="676"/>
      <c r="I63" s="676"/>
      <c r="J63" s="676">
        <f>23</f>
        <v>23</v>
      </c>
      <c r="K63" s="1171">
        <f>730</f>
        <v>730</v>
      </c>
      <c r="L63" s="676">
        <f>130</f>
        <v>130</v>
      </c>
      <c r="M63" s="676"/>
      <c r="N63" s="676"/>
      <c r="O63" s="1171"/>
      <c r="P63" s="1171">
        <f t="shared" si="2"/>
        <v>2176</v>
      </c>
    </row>
    <row r="64" spans="2:16" hidden="1">
      <c r="B64" s="1181" t="s">
        <v>114</v>
      </c>
      <c r="C64" s="1175" t="s">
        <v>115</v>
      </c>
      <c r="D64" s="676"/>
      <c r="E64" s="676"/>
      <c r="F64" s="676"/>
      <c r="G64" s="676"/>
      <c r="H64" s="676"/>
      <c r="I64" s="676"/>
      <c r="J64" s="676"/>
      <c r="K64" s="1171"/>
      <c r="L64" s="676">
        <f>2520</f>
        <v>2520</v>
      </c>
      <c r="M64" s="676">
        <f>115</f>
        <v>115</v>
      </c>
      <c r="N64" s="676"/>
      <c r="O64" s="1171"/>
      <c r="P64" s="1171">
        <f t="shared" si="2"/>
        <v>2635</v>
      </c>
    </row>
    <row r="65" spans="2:16" hidden="1">
      <c r="B65" s="1175" t="s">
        <v>116</v>
      </c>
      <c r="C65" s="1175" t="s">
        <v>117</v>
      </c>
      <c r="D65" s="676"/>
      <c r="E65" s="676"/>
      <c r="F65" s="676"/>
      <c r="G65" s="676"/>
      <c r="H65" s="676"/>
      <c r="I65" s="676"/>
      <c r="J65" s="676"/>
      <c r="K65" s="1171"/>
      <c r="L65" s="676">
        <f>65</f>
        <v>65</v>
      </c>
      <c r="M65" s="676">
        <f>65</f>
        <v>65</v>
      </c>
      <c r="N65" s="676"/>
      <c r="O65" s="1176"/>
      <c r="P65" s="1171">
        <f t="shared" si="2"/>
        <v>130</v>
      </c>
    </row>
    <row r="66" spans="2:16" hidden="1">
      <c r="B66" s="1175" t="s">
        <v>118</v>
      </c>
      <c r="C66" s="1175" t="s">
        <v>119</v>
      </c>
      <c r="D66" s="676"/>
      <c r="E66" s="676"/>
      <c r="F66" s="676">
        <f>160</f>
        <v>160</v>
      </c>
      <c r="G66" s="676"/>
      <c r="H66" s="676"/>
      <c r="I66" s="676"/>
      <c r="J66" s="676"/>
      <c r="K66" s="1171">
        <f>705</f>
        <v>705</v>
      </c>
      <c r="L66" s="676"/>
      <c r="M66" s="676"/>
      <c r="N66" s="676"/>
      <c r="O66" s="1171"/>
      <c r="P66" s="1171">
        <f t="shared" si="2"/>
        <v>865</v>
      </c>
    </row>
    <row r="67" spans="2:16" hidden="1">
      <c r="B67" s="1180" t="s">
        <v>120</v>
      </c>
      <c r="C67" s="1180" t="s">
        <v>121</v>
      </c>
      <c r="D67" s="676"/>
      <c r="E67" s="676"/>
      <c r="F67" s="676"/>
      <c r="G67" s="676"/>
      <c r="H67" s="676">
        <v>50000</v>
      </c>
      <c r="I67" s="676"/>
      <c r="J67" s="676"/>
      <c r="K67" s="1171">
        <v>48000</v>
      </c>
      <c r="L67" s="676"/>
      <c r="M67" s="676"/>
      <c r="N67" s="676"/>
      <c r="O67" s="1171"/>
      <c r="P67" s="1171">
        <f t="shared" si="2"/>
        <v>98000</v>
      </c>
    </row>
    <row r="68" spans="2:16" hidden="1">
      <c r="B68" s="1180" t="s">
        <v>122</v>
      </c>
      <c r="C68" s="1180" t="s">
        <v>123</v>
      </c>
      <c r="D68" s="676"/>
      <c r="E68" s="676"/>
      <c r="F68" s="676"/>
      <c r="G68" s="676"/>
      <c r="H68" s="676"/>
      <c r="I68" s="676"/>
      <c r="J68" s="676"/>
      <c r="K68" s="1171"/>
      <c r="L68" s="676">
        <f>40</f>
        <v>40</v>
      </c>
      <c r="M68" s="676"/>
      <c r="N68" s="676"/>
      <c r="O68" s="1171"/>
      <c r="P68" s="1171">
        <f t="shared" si="2"/>
        <v>40</v>
      </c>
    </row>
    <row r="69" spans="2:16" hidden="1">
      <c r="B69" s="1172" t="s">
        <v>124</v>
      </c>
      <c r="C69" s="1172" t="s">
        <v>125</v>
      </c>
      <c r="D69" s="676"/>
      <c r="E69" s="676"/>
      <c r="F69" s="676"/>
      <c r="G69" s="676"/>
      <c r="H69" s="676"/>
      <c r="I69" s="676"/>
      <c r="J69" s="676"/>
      <c r="K69" s="1171"/>
      <c r="L69" s="676"/>
      <c r="M69" s="676">
        <f>40+160</f>
        <v>200</v>
      </c>
      <c r="N69" s="676"/>
      <c r="O69" s="1171"/>
      <c r="P69" s="1171">
        <f>SUM(D69:O69)</f>
        <v>200</v>
      </c>
    </row>
    <row r="70" spans="2:16" hidden="1">
      <c r="B70" s="1175" t="s">
        <v>126</v>
      </c>
      <c r="C70" s="1175" t="s">
        <v>127</v>
      </c>
      <c r="D70" s="676"/>
      <c r="E70" s="676">
        <v>1140</v>
      </c>
      <c r="F70" s="676">
        <f>4200</f>
        <v>4200</v>
      </c>
      <c r="G70" s="676"/>
      <c r="H70" s="676">
        <f>790</f>
        <v>790</v>
      </c>
      <c r="I70" s="676">
        <f>260</f>
        <v>260</v>
      </c>
      <c r="J70" s="676">
        <f>330+56+1250</f>
        <v>1636</v>
      </c>
      <c r="K70" s="1171"/>
      <c r="L70" s="676"/>
      <c r="M70" s="676">
        <f>2950+200</f>
        <v>3150</v>
      </c>
      <c r="N70" s="676"/>
      <c r="O70" s="1171"/>
      <c r="P70" s="1171">
        <f t="shared" si="2"/>
        <v>11176</v>
      </c>
    </row>
    <row r="71" spans="2:16" hidden="1">
      <c r="B71" s="1169" t="s">
        <v>128</v>
      </c>
      <c r="C71" s="1169" t="s">
        <v>129</v>
      </c>
      <c r="D71" s="676"/>
      <c r="E71" s="676"/>
      <c r="F71" s="676">
        <f>345</f>
        <v>345</v>
      </c>
      <c r="G71" s="676">
        <v>680</v>
      </c>
      <c r="H71" s="676">
        <f>30+96+85+150+320+161</f>
        <v>842</v>
      </c>
      <c r="I71" s="676">
        <f>543</f>
        <v>543</v>
      </c>
      <c r="J71" s="676">
        <f>1250+412+783</f>
        <v>2445</v>
      </c>
      <c r="K71" s="1171"/>
      <c r="L71" s="676">
        <f>34+483</f>
        <v>517</v>
      </c>
      <c r="M71" s="676">
        <f>635</f>
        <v>635</v>
      </c>
      <c r="N71" s="676"/>
      <c r="O71" s="1173"/>
      <c r="P71" s="1171">
        <f t="shared" si="2"/>
        <v>6007</v>
      </c>
    </row>
    <row r="72" spans="2:16" hidden="1">
      <c r="B72" s="1169" t="s">
        <v>130</v>
      </c>
      <c r="C72" s="1169" t="s">
        <v>131</v>
      </c>
      <c r="D72" s="676"/>
      <c r="E72" s="676"/>
      <c r="F72" s="676">
        <f>212</f>
        <v>212</v>
      </c>
      <c r="G72" s="676">
        <f>110+75</f>
        <v>185</v>
      </c>
      <c r="H72" s="676"/>
      <c r="I72" s="676">
        <f>251</f>
        <v>251</v>
      </c>
      <c r="J72" s="676">
        <f>800+400</f>
        <v>1200</v>
      </c>
      <c r="K72" s="1171">
        <f>1995</f>
        <v>1995</v>
      </c>
      <c r="L72" s="676">
        <f>210+206</f>
        <v>416</v>
      </c>
      <c r="M72" s="676">
        <f>647</f>
        <v>647</v>
      </c>
      <c r="N72" s="676"/>
      <c r="O72" s="1173"/>
      <c r="P72" s="1171">
        <f t="shared" si="2"/>
        <v>4906</v>
      </c>
    </row>
    <row r="73" spans="2:16" hidden="1">
      <c r="B73" s="1169" t="s">
        <v>132</v>
      </c>
      <c r="C73" s="1169" t="s">
        <v>133</v>
      </c>
      <c r="D73" s="676"/>
      <c r="E73" s="676">
        <v>32</v>
      </c>
      <c r="F73" s="676">
        <f>50+209</f>
        <v>259</v>
      </c>
      <c r="G73" s="676">
        <f>286</f>
        <v>286</v>
      </c>
      <c r="H73" s="676">
        <f>128</f>
        <v>128</v>
      </c>
      <c r="I73" s="676">
        <v>37</v>
      </c>
      <c r="J73" s="676">
        <v>40</v>
      </c>
      <c r="K73" s="1171">
        <f>45+20</f>
        <v>65</v>
      </c>
      <c r="L73" s="676">
        <f>122+150</f>
        <v>272</v>
      </c>
      <c r="M73" s="676">
        <v>618</v>
      </c>
      <c r="N73" s="676"/>
      <c r="O73" s="1173"/>
      <c r="P73" s="1171">
        <f t="shared" si="2"/>
        <v>1737</v>
      </c>
    </row>
    <row r="74" spans="2:16">
      <c r="B74" s="1165" t="s">
        <v>1569</v>
      </c>
      <c r="C74" s="1166"/>
      <c r="D74" s="1167">
        <f>SUM(D75:D78)</f>
        <v>3000</v>
      </c>
      <c r="E74" s="1167">
        <f>SUM(E75:E78)</f>
        <v>0</v>
      </c>
      <c r="F74" s="1167">
        <f>SUM(F75:F78)</f>
        <v>0</v>
      </c>
      <c r="G74" s="1167">
        <f>SUM(G75:G78)</f>
        <v>73</v>
      </c>
      <c r="H74" s="1167">
        <f t="shared" ref="H74:P74" si="3">SUM(H75:H78)</f>
        <v>176</v>
      </c>
      <c r="I74" s="1167">
        <f>SUM(I75:I78)</f>
        <v>327</v>
      </c>
      <c r="J74" s="1167">
        <f t="shared" si="3"/>
        <v>0</v>
      </c>
      <c r="K74" s="1167">
        <f t="shared" si="3"/>
        <v>0</v>
      </c>
      <c r="L74" s="1167">
        <f t="shared" si="3"/>
        <v>2815</v>
      </c>
      <c r="M74" s="1167">
        <f t="shared" si="3"/>
        <v>1446</v>
      </c>
      <c r="N74" s="1167">
        <f t="shared" si="3"/>
        <v>0</v>
      </c>
      <c r="O74" s="1167">
        <f t="shared" si="3"/>
        <v>0</v>
      </c>
      <c r="P74" s="1167">
        <f t="shared" si="3"/>
        <v>7837</v>
      </c>
    </row>
    <row r="75" spans="2:16" hidden="1">
      <c r="B75" s="1182" t="s">
        <v>134</v>
      </c>
      <c r="C75" s="1174" t="s">
        <v>135</v>
      </c>
      <c r="D75" s="1161">
        <v>3000</v>
      </c>
      <c r="E75" s="1161"/>
      <c r="F75" s="1161"/>
      <c r="G75" s="1168">
        <f>73</f>
        <v>73</v>
      </c>
      <c r="H75" s="1161">
        <f>102</f>
        <v>102</v>
      </c>
      <c r="I75" s="1161">
        <f>250</f>
        <v>250</v>
      </c>
      <c r="J75" s="1161"/>
      <c r="K75" s="1161"/>
      <c r="L75" s="1161">
        <f>360+290</f>
        <v>650</v>
      </c>
      <c r="M75" s="1161">
        <f>348+55+290</f>
        <v>693</v>
      </c>
      <c r="N75" s="1161"/>
      <c r="O75" s="676"/>
      <c r="P75" s="1168">
        <f>SUM(D75:O75)</f>
        <v>4768</v>
      </c>
    </row>
    <row r="76" spans="2:16" hidden="1">
      <c r="B76" s="1182" t="s">
        <v>136</v>
      </c>
      <c r="C76" s="1174" t="s">
        <v>137</v>
      </c>
      <c r="D76" s="1161"/>
      <c r="E76" s="1161"/>
      <c r="F76" s="1161"/>
      <c r="G76" s="1168"/>
      <c r="H76" s="1161"/>
      <c r="I76" s="1161"/>
      <c r="J76" s="1161"/>
      <c r="K76" s="1161"/>
      <c r="L76" s="1161">
        <f>195+655+110+400+485+280</f>
        <v>2125</v>
      </c>
      <c r="M76" s="1161">
        <f>753</f>
        <v>753</v>
      </c>
      <c r="N76" s="1161"/>
      <c r="O76" s="676"/>
      <c r="P76" s="1168">
        <f>SUM(D76:O76)</f>
        <v>2878</v>
      </c>
    </row>
    <row r="77" spans="2:16" hidden="1">
      <c r="B77" s="1182" t="s">
        <v>138</v>
      </c>
      <c r="C77" s="1174" t="s">
        <v>139</v>
      </c>
      <c r="D77" s="1161"/>
      <c r="E77" s="1161"/>
      <c r="F77" s="1161"/>
      <c r="G77" s="1168"/>
      <c r="H77" s="1161"/>
      <c r="I77" s="1161">
        <f>77</f>
        <v>77</v>
      </c>
      <c r="J77" s="1161"/>
      <c r="K77" s="1161"/>
      <c r="L77" s="1161">
        <f>40</f>
        <v>40</v>
      </c>
      <c r="M77" s="1161"/>
      <c r="N77" s="1161"/>
      <c r="O77" s="676"/>
      <c r="P77" s="1168">
        <f>SUM(D77:O77)</f>
        <v>117</v>
      </c>
    </row>
    <row r="78" spans="2:16" hidden="1">
      <c r="B78" s="1173" t="s">
        <v>140</v>
      </c>
      <c r="C78" s="1169" t="s">
        <v>141</v>
      </c>
      <c r="D78" s="1161"/>
      <c r="E78" s="1161"/>
      <c r="F78" s="1161"/>
      <c r="G78" s="1161"/>
      <c r="H78" s="1161">
        <f>74</f>
        <v>74</v>
      </c>
      <c r="I78" s="1161"/>
      <c r="J78" s="1161"/>
      <c r="K78" s="1161"/>
      <c r="L78" s="1161"/>
      <c r="M78" s="1161"/>
      <c r="N78" s="1161"/>
      <c r="O78" s="1173"/>
      <c r="P78" s="1168">
        <f>SUM(D78:O78)</f>
        <v>74</v>
      </c>
    </row>
    <row r="79" spans="2:16">
      <c r="B79" s="1165" t="s">
        <v>1570</v>
      </c>
      <c r="C79" s="1166"/>
      <c r="D79" s="1167">
        <f>D81</f>
        <v>165000</v>
      </c>
      <c r="E79" s="1167">
        <f>E81</f>
        <v>0</v>
      </c>
      <c r="F79" s="1167">
        <f>F81</f>
        <v>0</v>
      </c>
      <c r="G79" s="1167">
        <f>G81+G80</f>
        <v>165200</v>
      </c>
      <c r="H79" s="1167">
        <f>H81+H80</f>
        <v>400</v>
      </c>
      <c r="I79" s="1167">
        <f>I81+I80</f>
        <v>0</v>
      </c>
      <c r="J79" s="1167">
        <f t="shared" ref="J79:P79" si="4">J81+J80</f>
        <v>165000</v>
      </c>
      <c r="K79" s="1167">
        <f t="shared" si="4"/>
        <v>0</v>
      </c>
      <c r="L79" s="1167">
        <f t="shared" si="4"/>
        <v>1400</v>
      </c>
      <c r="M79" s="1167">
        <f t="shared" si="4"/>
        <v>165000</v>
      </c>
      <c r="N79" s="1167">
        <f t="shared" si="4"/>
        <v>0</v>
      </c>
      <c r="O79" s="1167">
        <f t="shared" si="4"/>
        <v>0</v>
      </c>
      <c r="P79" s="1183">
        <f t="shared" si="4"/>
        <v>662000</v>
      </c>
    </row>
    <row r="80" spans="2:16">
      <c r="B80" s="1184" t="s">
        <v>142</v>
      </c>
      <c r="C80" s="1185" t="s">
        <v>143</v>
      </c>
      <c r="D80" s="1186"/>
      <c r="E80" s="1186"/>
      <c r="F80" s="1186"/>
      <c r="G80" s="1186">
        <v>200</v>
      </c>
      <c r="H80" s="1186">
        <v>400</v>
      </c>
      <c r="I80" s="1186"/>
      <c r="J80" s="1186"/>
      <c r="K80" s="1186"/>
      <c r="L80" s="1186">
        <v>1400</v>
      </c>
      <c r="M80" s="1186"/>
      <c r="N80" s="1186"/>
      <c r="O80" s="1186"/>
      <c r="P80" s="1187">
        <f t="shared" ref="P80:P86" si="5">SUM(D80:O80)</f>
        <v>2000</v>
      </c>
    </row>
    <row r="81" spans="2:16">
      <c r="B81" s="1184" t="s">
        <v>144</v>
      </c>
      <c r="C81" s="1185" t="s">
        <v>145</v>
      </c>
      <c r="D81" s="1186">
        <f>1000*3*55</f>
        <v>165000</v>
      </c>
      <c r="E81" s="1186"/>
      <c r="F81" s="1186"/>
      <c r="G81" s="1186">
        <f>1000*3*55</f>
        <v>165000</v>
      </c>
      <c r="H81" s="1186"/>
      <c r="I81" s="1186"/>
      <c r="J81" s="1186">
        <f>1000*3*55</f>
        <v>165000</v>
      </c>
      <c r="K81" s="1186"/>
      <c r="L81" s="1186"/>
      <c r="M81" s="1186">
        <f>1000*3*55</f>
        <v>165000</v>
      </c>
      <c r="N81" s="1186"/>
      <c r="O81" s="1186"/>
      <c r="P81" s="1187">
        <f t="shared" si="5"/>
        <v>660000</v>
      </c>
    </row>
    <row r="82" spans="2:16" hidden="1">
      <c r="B82" s="1165" t="s">
        <v>1572</v>
      </c>
      <c r="C82" s="1166"/>
      <c r="D82" s="1167">
        <f t="shared" ref="D82:O82" si="6">SUM(D83:D83)</f>
        <v>0</v>
      </c>
      <c r="E82" s="1167">
        <f t="shared" si="6"/>
        <v>0</v>
      </c>
      <c r="F82" s="1167">
        <f t="shared" si="6"/>
        <v>0</v>
      </c>
      <c r="G82" s="1167">
        <f t="shared" si="6"/>
        <v>0</v>
      </c>
      <c r="H82" s="1167">
        <f t="shared" si="6"/>
        <v>0</v>
      </c>
      <c r="I82" s="1167">
        <f t="shared" si="6"/>
        <v>0</v>
      </c>
      <c r="J82" s="1167">
        <f t="shared" si="6"/>
        <v>0</v>
      </c>
      <c r="K82" s="1167">
        <f t="shared" si="6"/>
        <v>0</v>
      </c>
      <c r="L82" s="1167">
        <f t="shared" si="6"/>
        <v>0</v>
      </c>
      <c r="M82" s="1167">
        <f t="shared" si="6"/>
        <v>0</v>
      </c>
      <c r="N82" s="1167">
        <f t="shared" si="6"/>
        <v>0</v>
      </c>
      <c r="O82" s="1167">
        <f t="shared" si="6"/>
        <v>0</v>
      </c>
      <c r="P82" s="1187">
        <f t="shared" si="5"/>
        <v>0</v>
      </c>
    </row>
    <row r="83" spans="2:16" hidden="1">
      <c r="B83" s="1161" t="s">
        <v>146</v>
      </c>
      <c r="C83" s="1162" t="s">
        <v>147</v>
      </c>
      <c r="D83" s="1168"/>
      <c r="E83" s="1161"/>
      <c r="F83" s="1161"/>
      <c r="G83" s="1161"/>
      <c r="H83" s="1161"/>
      <c r="I83" s="1161"/>
      <c r="J83" s="1161"/>
      <c r="K83" s="1161"/>
      <c r="L83" s="1161"/>
      <c r="M83" s="1161"/>
      <c r="N83" s="1161"/>
      <c r="O83" s="676"/>
      <c r="P83" s="1187">
        <f t="shared" si="5"/>
        <v>0</v>
      </c>
    </row>
    <row r="84" spans="2:16" hidden="1">
      <c r="B84" s="1165" t="s">
        <v>1573</v>
      </c>
      <c r="C84" s="1166"/>
      <c r="D84" s="1167">
        <f t="shared" ref="D84:O84" si="7">SUM(D85:D85)</f>
        <v>0</v>
      </c>
      <c r="E84" s="1167">
        <f t="shared" si="7"/>
        <v>0</v>
      </c>
      <c r="F84" s="1167">
        <f t="shared" si="7"/>
        <v>0</v>
      </c>
      <c r="G84" s="1167">
        <f t="shared" si="7"/>
        <v>0</v>
      </c>
      <c r="H84" s="1167">
        <f t="shared" si="7"/>
        <v>0</v>
      </c>
      <c r="I84" s="1167">
        <f t="shared" si="7"/>
        <v>0</v>
      </c>
      <c r="J84" s="1167">
        <f t="shared" si="7"/>
        <v>0</v>
      </c>
      <c r="K84" s="1167">
        <f t="shared" si="7"/>
        <v>0</v>
      </c>
      <c r="L84" s="1167">
        <f t="shared" si="7"/>
        <v>0</v>
      </c>
      <c r="M84" s="1167">
        <f t="shared" si="7"/>
        <v>0</v>
      </c>
      <c r="N84" s="1167">
        <f t="shared" si="7"/>
        <v>0</v>
      </c>
      <c r="O84" s="1167">
        <f t="shared" si="7"/>
        <v>0</v>
      </c>
      <c r="P84" s="1187">
        <f t="shared" si="5"/>
        <v>0</v>
      </c>
    </row>
    <row r="85" spans="2:16" hidden="1">
      <c r="B85" s="1161"/>
      <c r="C85" s="1162"/>
      <c r="D85" s="1161"/>
      <c r="E85" s="1161"/>
      <c r="F85" s="1161"/>
      <c r="G85" s="1161"/>
      <c r="H85" s="1161"/>
      <c r="I85" s="1161"/>
      <c r="J85" s="1161"/>
      <c r="K85" s="1161"/>
      <c r="L85" s="1161"/>
      <c r="M85" s="1161"/>
      <c r="N85" s="1161"/>
      <c r="O85" s="676"/>
      <c r="P85" s="1187">
        <f t="shared" si="5"/>
        <v>0</v>
      </c>
    </row>
    <row r="86" spans="2:16" s="1398" customFormat="1" ht="40.5">
      <c r="B86" s="1394" t="s">
        <v>1787</v>
      </c>
      <c r="C86" s="1395"/>
      <c r="D86" s="1396">
        <f ca="1">'0'!C141/3</f>
        <v>5000</v>
      </c>
      <c r="E86" s="1396">
        <f>D86</f>
        <v>5000</v>
      </c>
      <c r="F86" s="1396">
        <f t="shared" ref="F86:O86" si="8">E86</f>
        <v>5000</v>
      </c>
      <c r="G86" s="1396">
        <f t="shared" si="8"/>
        <v>5000</v>
      </c>
      <c r="H86" s="1396">
        <f t="shared" si="8"/>
        <v>5000</v>
      </c>
      <c r="I86" s="1396">
        <f t="shared" si="8"/>
        <v>5000</v>
      </c>
      <c r="J86" s="1396">
        <f t="shared" si="8"/>
        <v>5000</v>
      </c>
      <c r="K86" s="1396">
        <f t="shared" si="8"/>
        <v>5000</v>
      </c>
      <c r="L86" s="1396">
        <f t="shared" si="8"/>
        <v>5000</v>
      </c>
      <c r="M86" s="1396">
        <f t="shared" si="8"/>
        <v>5000</v>
      </c>
      <c r="N86" s="1396">
        <f t="shared" si="8"/>
        <v>5000</v>
      </c>
      <c r="O86" s="1396">
        <f t="shared" si="8"/>
        <v>5000</v>
      </c>
      <c r="P86" s="1397">
        <f t="shared" si="5"/>
        <v>60000</v>
      </c>
    </row>
    <row r="87" spans="2:16">
      <c r="D87" s="1399">
        <f>D5+D86</f>
        <v>19250</v>
      </c>
      <c r="E87" s="1399">
        <f t="shared" ref="E87:O87" si="9">E5+E86</f>
        <v>71725</v>
      </c>
      <c r="F87" s="1399">
        <f t="shared" si="9"/>
        <v>51315</v>
      </c>
      <c r="G87" s="1399">
        <f t="shared" si="9"/>
        <v>11421</v>
      </c>
      <c r="H87" s="1399">
        <f t="shared" si="9"/>
        <v>82054</v>
      </c>
      <c r="I87" s="1399">
        <f t="shared" si="9"/>
        <v>11573</v>
      </c>
      <c r="J87" s="1399">
        <f t="shared" si="9"/>
        <v>26031</v>
      </c>
      <c r="K87" s="1399">
        <f t="shared" si="9"/>
        <v>68229</v>
      </c>
      <c r="L87" s="1399">
        <f t="shared" si="9"/>
        <v>53318</v>
      </c>
      <c r="M87" s="1399">
        <f t="shared" si="9"/>
        <v>43509</v>
      </c>
      <c r="N87" s="1399">
        <f t="shared" si="9"/>
        <v>28960</v>
      </c>
      <c r="O87" s="1399">
        <f t="shared" si="9"/>
        <v>25000</v>
      </c>
      <c r="P87" s="1399">
        <f>P5+P86</f>
        <v>492385</v>
      </c>
    </row>
    <row r="88" spans="2:16">
      <c r="D88" s="1399">
        <f ca="1">Деталізація!T19</f>
        <v>19250</v>
      </c>
      <c r="E88" s="1399">
        <f ca="1">Деталізація!U19</f>
        <v>71725</v>
      </c>
      <c r="F88" s="1399">
        <f ca="1">Деталізація!V19</f>
        <v>51315</v>
      </c>
      <c r="G88" s="1399">
        <f ca="1">Деталізація!W19</f>
        <v>11421</v>
      </c>
      <c r="H88" s="1399">
        <f ca="1">Деталізація!X19</f>
        <v>82054</v>
      </c>
      <c r="I88" s="1399">
        <f ca="1">Деталізація!Y19</f>
        <v>11573</v>
      </c>
      <c r="J88" s="1399">
        <f ca="1">Деталізація!Z19</f>
        <v>26031</v>
      </c>
      <c r="K88" s="1399">
        <f ca="1">Деталізація!AA19</f>
        <v>68229</v>
      </c>
      <c r="L88" s="1399">
        <f ca="1">Деталізація!AB19</f>
        <v>53318</v>
      </c>
      <c r="M88" s="1399">
        <f ca="1">Деталізація!AC19</f>
        <v>43509</v>
      </c>
      <c r="N88" s="1399">
        <f ca="1">Деталізація!AD19</f>
        <v>28960</v>
      </c>
      <c r="O88" s="1399">
        <f ca="1">Деталізація!AE19</f>
        <v>25000</v>
      </c>
      <c r="P88" s="1399">
        <f>SUM(D88:O88)</f>
        <v>492385</v>
      </c>
    </row>
  </sheetData>
  <phoneticPr fontId="66" type="noConversion"/>
  <hyperlinks>
    <hyperlink ref="B70" r:id="rId1" display="https://prozorro.gov.ua/tender/UA-2021-12-23-004838-c"/>
    <hyperlink ref="C70" r:id="rId2" display="https://prozorro.gov.ua/tender/UA-2021-12-23-004838-c"/>
    <hyperlink ref="B75" r:id="rId3" display="https://prozorro.gov.ua/tender/UA-2021-12-23-001011-c"/>
    <hyperlink ref="C75" r:id="rId4" display="https://prozorro.gov.ua/tender/UA-2021-12-23-001011-c"/>
    <hyperlink ref="B35" r:id="rId5" display="https://prozorro.gov.ua/tender/UA-2021-12-28-012359-c"/>
    <hyperlink ref="B59" r:id="rId6" display="https://prozorro.gov.ua/tender/UA-2021-12-27-000964-c"/>
    <hyperlink ref="C35" r:id="rId7" display="https://prozorro.gov.ua/tender/UA-2021-12-28-012359-c"/>
    <hyperlink ref="C59" r:id="rId8" display="https://prozorro.gov.ua/tender/UA-2021-12-27-000964-c"/>
    <hyperlink ref="B40" r:id="rId9" display="https://prozorro.gov.ua/tender/UA-2022-02-08-005472-b"/>
    <hyperlink ref="C40" r:id="rId10" display="https://prozorro.gov.ua/tender/UA-2022-02-08-005472-b"/>
    <hyperlink ref="B57" r:id="rId11" display="https://prozorro.gov.ua/tender/UA-2022-02-09-006512-b"/>
    <hyperlink ref="B63" r:id="rId12" display="https://prozorro.gov.ua/tender/UA-2022-02-28-000885-a"/>
    <hyperlink ref="C63" r:id="rId13" display="https://prozorro.gov.ua/tender/UA-2022-02-28-000885-a"/>
    <hyperlink ref="C37" r:id="rId14" display="https://prozorro.gov.ua/tender/UA-2022-02-28-001856-a"/>
    <hyperlink ref="B37" r:id="rId15" display="https://prozorro.gov.ua/tender/UA-2022-02-28-001856-a"/>
    <hyperlink ref="B28" r:id="rId16" display="https://prozorro.gov.ua/tender/UA-2022-03-01-002063-a"/>
    <hyperlink ref="C28" r:id="rId17" display="https://prozorro.gov.ua/tender/UA-2022-03-01-002063-a"/>
    <hyperlink ref="B42" r:id="rId18" display="https://prozorro.gov.ua/tender/UA-2022-03-23-003545-b"/>
    <hyperlink ref="C42" r:id="rId19" display="https://prozorro.gov.ua/tender/UA-2022-03-23-003545-b"/>
    <hyperlink ref="B66" r:id="rId20" display="https://prozorro.gov.ua/tender/UA-2022-03-21-001032-a"/>
    <hyperlink ref="C66" r:id="rId21" display="https://prozorro.gov.ua/tender/UA-2022-03-21-001032-a"/>
    <hyperlink ref="B22" r:id="rId22" display="https://prozorro.gov.ua/tender/UA-2022-04-05-003127-b"/>
    <hyperlink ref="C22" r:id="rId23" display="https://prozorro.gov.ua/tender/UA-2022-04-05-003127-b"/>
    <hyperlink ref="B39" r:id="rId24" display="https://prozorro.gov.ua/tender/UA-2022-04-08-001715-b"/>
    <hyperlink ref="C39" r:id="rId25" display="https://prozorro.gov.ua/tender/UA-2022-04-08-001715-b"/>
    <hyperlink ref="B61" r:id="rId26" display="https://prozorro.gov.ua/tender/UA-2022-04-20-000925-a"/>
    <hyperlink ref="C61" r:id="rId27" display="https://prozorro.gov.ua/tender/UA-2022-04-20-000925-a"/>
    <hyperlink ref="B60" r:id="rId28" display="https://prozorro.gov.ua/tender/UA-2022-05-25-002037-a"/>
    <hyperlink ref="C60" r:id="rId29" display="https://prozorro.gov.ua/tender/UA-2022-05-25-002037-a"/>
    <hyperlink ref="C23" r:id="rId30" display="https://prozorro.gov.ua/tender/UA-2022-04-05-003127-b"/>
    <hyperlink ref="B19" r:id="rId31" display="https://prozorro.gov.ua/tender/UA-2022-06-03-003938-a"/>
    <hyperlink ref="C19" r:id="rId32" display="https://prozorro.gov.ua/tender/UA-2022-06-03-003938-a"/>
    <hyperlink ref="B14" r:id="rId33" display="https://prozorro.gov.ua/tender/UA-2022-06-15-006450-a"/>
    <hyperlink ref="C14" r:id="rId34" display="https://prozorro.gov.ua/tender/UA-2022-06-15-006450-a"/>
    <hyperlink ref="B44" r:id="rId35" display="https://prozorro.gov.ua/tender/UA-2022-06-17-004896-a"/>
    <hyperlink ref="C44" r:id="rId36" display="https://prozorro.gov.ua/tender/UA-2022-06-17-004896-a"/>
    <hyperlink ref="C20" r:id="rId37" display="https://prozorro.gov.ua/tender/UA-2022-06-21-003178-a"/>
    <hyperlink ref="B20" r:id="rId38" display="https://prozorro.gov.ua/tender/UA-2022-06-21-003178-a"/>
    <hyperlink ref="C77" r:id="rId39" display="https://prozorro.gov.ua/tender/UA-2022-06-23-000751-a"/>
    <hyperlink ref="B77" r:id="rId40" display="https://prozorro.gov.ua/tender/UA-2022-06-23-000751-a"/>
    <hyperlink ref="B67" r:id="rId41" display="https://prozorro.gov.ua/tender/UA-2022-07-06-000137-a"/>
    <hyperlink ref="C67" r:id="rId42" display="https://prozorro.gov.ua/tender/UA-2022-07-06-000137-a"/>
    <hyperlink ref="B25" r:id="rId43" display="https://prozorro.gov.ua/tender/UA-2022-06-15-003341-a"/>
    <hyperlink ref="C25" r:id="rId44" display="https://prozorro.gov.ua/tender/UA-2022-06-15-003341-a"/>
    <hyperlink ref="B54" r:id="rId45" display="https://prozorro.gov.ua/tender/UA-2022-07-01-005673-a"/>
    <hyperlink ref="C54" r:id="rId46" display="https://prozorro.gov.ua/tender/UA-2022-07-01-005673-a"/>
    <hyperlink ref="B13" r:id="rId47" display="https://prozorro.gov.ua/tender/UA-2022-07-11-001697-a"/>
    <hyperlink ref="C13" r:id="rId48" display="https://prozorro.gov.ua/tender/UA-2022-07-11-001697-a"/>
    <hyperlink ref="B45" r:id="rId49" display="https://prozorro.gov.ua/tender/UA-2022-07-25-002801-a"/>
    <hyperlink ref="C45" r:id="rId50" display="https://prozorro.gov.ua/tender/UA-2022-07-25-002801-a"/>
    <hyperlink ref="B9" r:id="rId51" display="https://prozorro.gov.ua/tender/UA-2022-08-30-000874-a"/>
    <hyperlink ref="C9" r:id="rId52" display="https://prozorro.gov.ua/tender/UA-2022-08-30-000874-a"/>
    <hyperlink ref="B51" r:id="rId53" display="https://prozorro.gov.ua/tender/UA-2022-09-06-007256-a"/>
    <hyperlink ref="C51" r:id="rId54" display="https://prozorro.gov.ua/tender/UA-2022-09-06-007256-a"/>
    <hyperlink ref="B65" r:id="rId55" display="https://prozorro.gov.ua/tender/UA-2022-04-20-000925-a"/>
    <hyperlink ref="C65" r:id="rId56" display="https://prozorro.gov.ua/tender/UA-2022-04-20-000925-a"/>
    <hyperlink ref="B50" r:id="rId57" display="https://prozorro.gov.ua/tender/UA-2022-09-16-004153-a"/>
    <hyperlink ref="C50" r:id="rId58" display="https://prozorro.gov.ua/tender/UA-2022-09-16-004153-a"/>
    <hyperlink ref="B30" r:id="rId59" display="https://prozorro.gov.ua/tender/UA-2022-09-16-008376-a"/>
    <hyperlink ref="C30" r:id="rId60" display="https://prozorro.gov.ua/tender/UA-2022-09-16-008376-a"/>
    <hyperlink ref="B34" r:id="rId61" display="https://prozorro.gov.ua/tender/UA-2022-09-16-008121-a"/>
    <hyperlink ref="C34" r:id="rId62" display="https://prozorro.gov.ua/tender/UA-2022-09-16-008121-a"/>
    <hyperlink ref="B46" r:id="rId63" display="https://prozorro.gov.ua/tender/UA-2022-10-04-008957-a"/>
    <hyperlink ref="C46" r:id="rId64" display="https://prozorro.gov.ua/tender/UA-2022-10-04-008957-a"/>
    <hyperlink ref="B69" r:id="rId65" display="https://prozorro.gov.ua/tender/UA-2022-10-04-002820-a"/>
    <hyperlink ref="C69" r:id="rId66" display="https://prozorro.gov.ua/tender/UA-2022-10-04-002820-a"/>
    <hyperlink ref="B7" r:id="rId67" display="https://prozorro.gov.ua/tender/UA-2022-10-11-005598-a"/>
  </hyperlinks>
  <pageMargins left="0" right="0" top="0" bottom="0" header="0" footer="0"/>
  <pageSetup paperSize="9" scale="43" orientation="landscape" r:id="rId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82"/>
  <sheetViews>
    <sheetView view="pageBreakPreview" topLeftCell="A252" zoomScale="75" zoomScaleNormal="100" zoomScaleSheetLayoutView="75" workbookViewId="0">
      <selection activeCell="S294" sqref="S294"/>
    </sheetView>
  </sheetViews>
  <sheetFormatPr defaultRowHeight="15.75"/>
  <cols>
    <col min="1" max="1" width="4.28515625" customWidth="1"/>
    <col min="2" max="2" width="5.85546875" style="1287" bestFit="1" customWidth="1"/>
    <col min="3" max="3" width="124.5703125" style="1306" customWidth="1"/>
    <col min="4" max="4" width="93.7109375" style="1286" hidden="1" customWidth="1"/>
    <col min="5" max="5" width="11.7109375" style="1287" customWidth="1"/>
    <col min="6" max="6" width="12.85546875" style="1294" customWidth="1"/>
    <col min="7" max="7" width="14.140625" style="1287" hidden="1" customWidth="1"/>
    <col min="8" max="8" width="11.42578125" style="1294" customWidth="1"/>
    <col min="9" max="9" width="11" style="1287" hidden="1" customWidth="1"/>
    <col min="10" max="10" width="13.7109375" style="1294" bestFit="1" customWidth="1"/>
  </cols>
  <sheetData>
    <row r="2" spans="2:10">
      <c r="C2" s="1340" t="s">
        <v>234</v>
      </c>
    </row>
    <row r="4" spans="2:10" s="1153" customFormat="1" ht="39" customHeight="1">
      <c r="B4" s="1313" t="s">
        <v>837</v>
      </c>
      <c r="C4" s="1251" t="s">
        <v>983</v>
      </c>
      <c r="D4" s="1251" t="s">
        <v>984</v>
      </c>
      <c r="E4" s="1274" t="s">
        <v>866</v>
      </c>
      <c r="F4" s="1251" t="s">
        <v>985</v>
      </c>
      <c r="G4" s="1251" t="s">
        <v>986</v>
      </c>
      <c r="H4" s="1251" t="s">
        <v>235</v>
      </c>
      <c r="I4" s="1295" t="s">
        <v>987</v>
      </c>
      <c r="J4" s="1252" t="s">
        <v>236</v>
      </c>
    </row>
    <row r="5" spans="2:10">
      <c r="B5" s="1154">
        <v>1</v>
      </c>
      <c r="C5" s="1253" t="s">
        <v>988</v>
      </c>
      <c r="D5" s="1254" t="s">
        <v>989</v>
      </c>
      <c r="E5" s="1255" t="s">
        <v>990</v>
      </c>
      <c r="F5" s="1256">
        <v>55</v>
      </c>
      <c r="G5" s="1257">
        <v>21.82</v>
      </c>
      <c r="H5" s="1258">
        <f>G5*1.07</f>
        <v>23.3474</v>
      </c>
      <c r="I5" s="1033">
        <f t="shared" ref="I5:I36" si="0">G5*F5</f>
        <v>1200.0999999999999</v>
      </c>
      <c r="J5" s="1142">
        <f>H5*F5</f>
        <v>1284.107</v>
      </c>
    </row>
    <row r="6" spans="2:10">
      <c r="B6" s="1154">
        <f>1+B5</f>
        <v>2</v>
      </c>
      <c r="C6" s="1253" t="s">
        <v>991</v>
      </c>
      <c r="D6" s="1254" t="s">
        <v>989</v>
      </c>
      <c r="E6" s="1255" t="s">
        <v>990</v>
      </c>
      <c r="F6" s="1256">
        <v>265</v>
      </c>
      <c r="G6" s="1257">
        <v>55.56</v>
      </c>
      <c r="H6" s="1258">
        <f>G6*1</f>
        <v>55.56</v>
      </c>
      <c r="I6" s="1033">
        <f t="shared" si="0"/>
        <v>14723.400000000001</v>
      </c>
      <c r="J6" s="1142">
        <f t="shared" ref="J6:J36" si="1">H6*F6</f>
        <v>14723.400000000001</v>
      </c>
    </row>
    <row r="7" spans="2:10">
      <c r="B7" s="1154">
        <f t="shared" ref="B7:B70" si="2">1+B6</f>
        <v>3</v>
      </c>
      <c r="C7" s="1253" t="s">
        <v>992</v>
      </c>
      <c r="D7" s="1254" t="s">
        <v>989</v>
      </c>
      <c r="E7" s="1255" t="s">
        <v>990</v>
      </c>
      <c r="F7" s="1256">
        <v>397</v>
      </c>
      <c r="G7" s="1257">
        <v>80</v>
      </c>
      <c r="H7" s="1258">
        <f>G7*1.07</f>
        <v>85.600000000000009</v>
      </c>
      <c r="I7" s="1033">
        <f t="shared" si="0"/>
        <v>31760</v>
      </c>
      <c r="J7" s="1142">
        <f t="shared" si="1"/>
        <v>33983.200000000004</v>
      </c>
    </row>
    <row r="8" spans="2:10">
      <c r="B8" s="1154">
        <f t="shared" si="2"/>
        <v>4</v>
      </c>
      <c r="C8" s="1253" t="s">
        <v>993</v>
      </c>
      <c r="D8" s="1254" t="s">
        <v>989</v>
      </c>
      <c r="E8" s="1255" t="s">
        <v>990</v>
      </c>
      <c r="F8" s="1256">
        <v>240</v>
      </c>
      <c r="G8" s="1257">
        <v>133.44</v>
      </c>
      <c r="H8" s="1258">
        <f>G8*1.07</f>
        <v>142.7808</v>
      </c>
      <c r="I8" s="1033">
        <f t="shared" si="0"/>
        <v>32025.599999999999</v>
      </c>
      <c r="J8" s="1142">
        <f t="shared" si="1"/>
        <v>34267.392</v>
      </c>
    </row>
    <row r="9" spans="2:10">
      <c r="B9" s="1154">
        <f t="shared" si="2"/>
        <v>5</v>
      </c>
      <c r="C9" s="1253" t="s">
        <v>994</v>
      </c>
      <c r="D9" s="1254" t="s">
        <v>989</v>
      </c>
      <c r="E9" s="1255" t="s">
        <v>990</v>
      </c>
      <c r="F9" s="1256">
        <v>50</v>
      </c>
      <c r="G9" s="1257">
        <v>18.63</v>
      </c>
      <c r="H9" s="1258">
        <f>G9*1</f>
        <v>18.63</v>
      </c>
      <c r="I9" s="1033">
        <f t="shared" si="0"/>
        <v>931.5</v>
      </c>
      <c r="J9" s="1142">
        <f t="shared" si="1"/>
        <v>931.5</v>
      </c>
    </row>
    <row r="10" spans="2:10">
      <c r="B10" s="1154">
        <f t="shared" si="2"/>
        <v>6</v>
      </c>
      <c r="C10" s="1253" t="s">
        <v>995</v>
      </c>
      <c r="D10" s="1254" t="s">
        <v>989</v>
      </c>
      <c r="E10" s="1255" t="s">
        <v>990</v>
      </c>
      <c r="F10" s="1256">
        <v>125</v>
      </c>
      <c r="G10" s="1257">
        <v>62.5</v>
      </c>
      <c r="H10" s="1258">
        <f>G10*1.07</f>
        <v>66.875</v>
      </c>
      <c r="I10" s="1033">
        <f t="shared" si="0"/>
        <v>7812.5</v>
      </c>
      <c r="J10" s="1142">
        <f t="shared" si="1"/>
        <v>8359.375</v>
      </c>
    </row>
    <row r="11" spans="2:10">
      <c r="B11" s="1154">
        <f t="shared" si="2"/>
        <v>7</v>
      </c>
      <c r="C11" s="1253" t="s">
        <v>996</v>
      </c>
      <c r="D11" s="1254" t="s">
        <v>989</v>
      </c>
      <c r="E11" s="1255" t="s">
        <v>990</v>
      </c>
      <c r="F11" s="1256">
        <v>520</v>
      </c>
      <c r="G11" s="1257">
        <v>17.309999999999999</v>
      </c>
      <c r="H11" s="1258">
        <f>G11*1</f>
        <v>17.309999999999999</v>
      </c>
      <c r="I11" s="1033">
        <f t="shared" si="0"/>
        <v>9001.1999999999989</v>
      </c>
      <c r="J11" s="1142">
        <f t="shared" si="1"/>
        <v>9001.1999999999989</v>
      </c>
    </row>
    <row r="12" spans="2:10">
      <c r="B12" s="1154">
        <f t="shared" si="2"/>
        <v>8</v>
      </c>
      <c r="C12" s="1253" t="s">
        <v>997</v>
      </c>
      <c r="D12" s="1254" t="s">
        <v>989</v>
      </c>
      <c r="E12" s="1255" t="s">
        <v>990</v>
      </c>
      <c r="F12" s="1256">
        <v>45</v>
      </c>
      <c r="G12" s="1257">
        <v>25.73</v>
      </c>
      <c r="H12" s="1258">
        <f>G12*1</f>
        <v>25.73</v>
      </c>
      <c r="I12" s="1033">
        <f t="shared" si="0"/>
        <v>1157.8499999999999</v>
      </c>
      <c r="J12" s="1142">
        <f t="shared" si="1"/>
        <v>1157.8499999999999</v>
      </c>
    </row>
    <row r="13" spans="2:10">
      <c r="B13" s="1154">
        <f t="shared" si="2"/>
        <v>9</v>
      </c>
      <c r="C13" s="1253" t="s">
        <v>998</v>
      </c>
      <c r="D13" s="1254" t="s">
        <v>989</v>
      </c>
      <c r="E13" s="1255" t="s">
        <v>990</v>
      </c>
      <c r="F13" s="1256">
        <v>60</v>
      </c>
      <c r="G13" s="1257">
        <v>36.22</v>
      </c>
      <c r="H13" s="1258">
        <f>G13*1</f>
        <v>36.22</v>
      </c>
      <c r="I13" s="1033">
        <f t="shared" si="0"/>
        <v>2173.1999999999998</v>
      </c>
      <c r="J13" s="1142">
        <f t="shared" si="1"/>
        <v>2173.1999999999998</v>
      </c>
    </row>
    <row r="14" spans="2:10">
      <c r="B14" s="1154">
        <f t="shared" si="2"/>
        <v>10</v>
      </c>
      <c r="C14" s="1253" t="s">
        <v>999</v>
      </c>
      <c r="D14" s="1254" t="s">
        <v>989</v>
      </c>
      <c r="E14" s="1255" t="s">
        <v>990</v>
      </c>
      <c r="F14" s="1256">
        <v>170</v>
      </c>
      <c r="G14" s="1257">
        <v>77.12</v>
      </c>
      <c r="H14" s="1258">
        <f t="shared" ref="H14:H23" si="3">G14*1.07</f>
        <v>82.518400000000014</v>
      </c>
      <c r="I14" s="1033">
        <f t="shared" si="0"/>
        <v>13110.400000000001</v>
      </c>
      <c r="J14" s="1142">
        <f t="shared" si="1"/>
        <v>14028.128000000002</v>
      </c>
    </row>
    <row r="15" spans="2:10">
      <c r="B15" s="1154">
        <f t="shared" si="2"/>
        <v>11</v>
      </c>
      <c r="C15" s="1253" t="s">
        <v>1000</v>
      </c>
      <c r="D15" s="1254" t="s">
        <v>989</v>
      </c>
      <c r="E15" s="1255" t="s">
        <v>990</v>
      </c>
      <c r="F15" s="1256">
        <v>132</v>
      </c>
      <c r="G15" s="1257">
        <v>42.8</v>
      </c>
      <c r="H15" s="1258">
        <f t="shared" si="3"/>
        <v>45.795999999999999</v>
      </c>
      <c r="I15" s="1033">
        <f t="shared" si="0"/>
        <v>5649.5999999999995</v>
      </c>
      <c r="J15" s="1142">
        <f t="shared" si="1"/>
        <v>6045.0720000000001</v>
      </c>
    </row>
    <row r="16" spans="2:10">
      <c r="B16" s="1154">
        <f t="shared" si="2"/>
        <v>12</v>
      </c>
      <c r="C16" s="1253" t="s">
        <v>1001</v>
      </c>
      <c r="D16" s="1254" t="s">
        <v>1002</v>
      </c>
      <c r="E16" s="1255" t="s">
        <v>990</v>
      </c>
      <c r="F16" s="1256">
        <v>10</v>
      </c>
      <c r="G16" s="1257">
        <v>185.79</v>
      </c>
      <c r="H16" s="1258">
        <f t="shared" si="3"/>
        <v>198.7953</v>
      </c>
      <c r="I16" s="1033">
        <f t="shared" si="0"/>
        <v>1857.8999999999999</v>
      </c>
      <c r="J16" s="1142">
        <f t="shared" si="1"/>
        <v>1987.953</v>
      </c>
    </row>
    <row r="17" spans="2:10">
      <c r="B17" s="1154">
        <f t="shared" si="2"/>
        <v>13</v>
      </c>
      <c r="C17" s="1253" t="s">
        <v>1003</v>
      </c>
      <c r="D17" s="1254" t="s">
        <v>1004</v>
      </c>
      <c r="E17" s="1255" t="s">
        <v>990</v>
      </c>
      <c r="F17" s="1256">
        <v>2</v>
      </c>
      <c r="G17" s="1257">
        <v>38.5</v>
      </c>
      <c r="H17" s="1258">
        <f t="shared" si="3"/>
        <v>41.195</v>
      </c>
      <c r="I17" s="1033">
        <f t="shared" si="0"/>
        <v>77</v>
      </c>
      <c r="J17" s="1142">
        <f t="shared" si="1"/>
        <v>82.39</v>
      </c>
    </row>
    <row r="18" spans="2:10">
      <c r="B18" s="1154">
        <f t="shared" si="2"/>
        <v>14</v>
      </c>
      <c r="C18" s="1253" t="s">
        <v>1005</v>
      </c>
      <c r="D18" s="1254" t="s">
        <v>1006</v>
      </c>
      <c r="E18" s="1255" t="s">
        <v>990</v>
      </c>
      <c r="F18" s="1256">
        <v>10</v>
      </c>
      <c r="G18" s="1257">
        <v>450.9</v>
      </c>
      <c r="H18" s="1258">
        <f t="shared" si="3"/>
        <v>482.46300000000002</v>
      </c>
      <c r="I18" s="1033">
        <f t="shared" si="0"/>
        <v>4509</v>
      </c>
      <c r="J18" s="1142">
        <f t="shared" si="1"/>
        <v>4824.63</v>
      </c>
    </row>
    <row r="19" spans="2:10">
      <c r="B19" s="1154">
        <f t="shared" si="2"/>
        <v>15</v>
      </c>
      <c r="C19" s="1253" t="s">
        <v>1007</v>
      </c>
      <c r="D19" s="1254" t="s">
        <v>1006</v>
      </c>
      <c r="E19" s="1255" t="s">
        <v>990</v>
      </c>
      <c r="F19" s="1256">
        <v>200</v>
      </c>
      <c r="G19" s="1257">
        <v>571.9</v>
      </c>
      <c r="H19" s="1258">
        <f t="shared" si="3"/>
        <v>611.93299999999999</v>
      </c>
      <c r="I19" s="1033">
        <f t="shared" si="0"/>
        <v>114380</v>
      </c>
      <c r="J19" s="1142">
        <f t="shared" si="1"/>
        <v>122386.6</v>
      </c>
    </row>
    <row r="20" spans="2:10">
      <c r="B20" s="1154">
        <f t="shared" si="2"/>
        <v>16</v>
      </c>
      <c r="C20" s="1259" t="s">
        <v>1008</v>
      </c>
      <c r="D20" s="1254" t="s">
        <v>1006</v>
      </c>
      <c r="E20" s="1255" t="s">
        <v>990</v>
      </c>
      <c r="F20" s="1256">
        <v>200</v>
      </c>
      <c r="G20" s="1257">
        <v>153.9</v>
      </c>
      <c r="H20" s="1258">
        <f t="shared" si="3"/>
        <v>164.673</v>
      </c>
      <c r="I20" s="1033">
        <f t="shared" si="0"/>
        <v>30780</v>
      </c>
      <c r="J20" s="1142">
        <f t="shared" si="1"/>
        <v>32934.6</v>
      </c>
    </row>
    <row r="21" spans="2:10">
      <c r="B21" s="1154">
        <f t="shared" si="2"/>
        <v>17</v>
      </c>
      <c r="C21" s="1253" t="s">
        <v>1009</v>
      </c>
      <c r="D21" s="1254" t="s">
        <v>1010</v>
      </c>
      <c r="E21" s="1255" t="s">
        <v>990</v>
      </c>
      <c r="F21" s="1256">
        <v>5</v>
      </c>
      <c r="G21" s="1257">
        <v>180.1</v>
      </c>
      <c r="H21" s="1258">
        <f t="shared" si="3"/>
        <v>192.70699999999999</v>
      </c>
      <c r="I21" s="1033">
        <f t="shared" si="0"/>
        <v>900.5</v>
      </c>
      <c r="J21" s="1142">
        <f t="shared" si="1"/>
        <v>963.53499999999997</v>
      </c>
    </row>
    <row r="22" spans="2:10">
      <c r="B22" s="1154">
        <f t="shared" si="2"/>
        <v>18</v>
      </c>
      <c r="C22" s="1253" t="s">
        <v>1011</v>
      </c>
      <c r="D22" s="1254" t="s">
        <v>989</v>
      </c>
      <c r="E22" s="1255" t="s">
        <v>990</v>
      </c>
      <c r="F22" s="1256">
        <v>265</v>
      </c>
      <c r="G22" s="1257">
        <v>33.229999999999997</v>
      </c>
      <c r="H22" s="1258">
        <f t="shared" si="3"/>
        <v>35.556100000000001</v>
      </c>
      <c r="I22" s="1033">
        <f t="shared" si="0"/>
        <v>8805.9499999999989</v>
      </c>
      <c r="J22" s="1142">
        <f t="shared" si="1"/>
        <v>9422.3665000000001</v>
      </c>
    </row>
    <row r="23" spans="2:10">
      <c r="B23" s="1154">
        <f t="shared" si="2"/>
        <v>19</v>
      </c>
      <c r="C23" s="1253" t="s">
        <v>1012</v>
      </c>
      <c r="D23" s="1254" t="s">
        <v>1013</v>
      </c>
      <c r="E23" s="1255" t="s">
        <v>990</v>
      </c>
      <c r="F23" s="1256">
        <v>30</v>
      </c>
      <c r="G23" s="1257">
        <v>475.34</v>
      </c>
      <c r="H23" s="1258">
        <f t="shared" si="3"/>
        <v>508.61380000000003</v>
      </c>
      <c r="I23" s="1033">
        <f t="shared" si="0"/>
        <v>14260.199999999999</v>
      </c>
      <c r="J23" s="1142">
        <f t="shared" si="1"/>
        <v>15258.414000000001</v>
      </c>
    </row>
    <row r="24" spans="2:10">
      <c r="B24" s="1154">
        <f t="shared" si="2"/>
        <v>20</v>
      </c>
      <c r="C24" s="1259" t="s">
        <v>1014</v>
      </c>
      <c r="D24" s="1254" t="s">
        <v>989</v>
      </c>
      <c r="E24" s="1255" t="s">
        <v>1015</v>
      </c>
      <c r="F24" s="1256">
        <v>3300</v>
      </c>
      <c r="G24" s="1257">
        <v>30</v>
      </c>
      <c r="H24" s="1258">
        <f>G24*1</f>
        <v>30</v>
      </c>
      <c r="I24" s="1033">
        <f t="shared" si="0"/>
        <v>99000</v>
      </c>
      <c r="J24" s="1142">
        <f t="shared" si="1"/>
        <v>99000</v>
      </c>
    </row>
    <row r="25" spans="2:10">
      <c r="B25" s="1154">
        <f t="shared" si="2"/>
        <v>21</v>
      </c>
      <c r="C25" s="1253" t="s">
        <v>1016</v>
      </c>
      <c r="D25" s="1254" t="s">
        <v>989</v>
      </c>
      <c r="E25" s="1255" t="s">
        <v>990</v>
      </c>
      <c r="F25" s="1256">
        <v>310</v>
      </c>
      <c r="G25" s="1257">
        <v>31.69</v>
      </c>
      <c r="H25" s="1258">
        <f>G25*1.07</f>
        <v>33.908300000000004</v>
      </c>
      <c r="I25" s="1033">
        <f t="shared" si="0"/>
        <v>9823.9</v>
      </c>
      <c r="J25" s="1142">
        <f t="shared" si="1"/>
        <v>10511.573000000002</v>
      </c>
    </row>
    <row r="26" spans="2:10">
      <c r="B26" s="1154">
        <f t="shared" si="2"/>
        <v>22</v>
      </c>
      <c r="C26" s="1253" t="s">
        <v>1017</v>
      </c>
      <c r="D26" s="1254" t="s">
        <v>989</v>
      </c>
      <c r="E26" s="1255" t="s">
        <v>990</v>
      </c>
      <c r="F26" s="1256">
        <v>310</v>
      </c>
      <c r="G26" s="1257">
        <v>41.48</v>
      </c>
      <c r="H26" s="1258">
        <f>G26*1.07</f>
        <v>44.383600000000001</v>
      </c>
      <c r="I26" s="1033">
        <f t="shared" si="0"/>
        <v>12858.8</v>
      </c>
      <c r="J26" s="1142">
        <f t="shared" si="1"/>
        <v>13758.916000000001</v>
      </c>
    </row>
    <row r="27" spans="2:10">
      <c r="B27" s="1154">
        <f t="shared" si="2"/>
        <v>23</v>
      </c>
      <c r="C27" s="1253" t="s">
        <v>1018</v>
      </c>
      <c r="D27" s="1254" t="s">
        <v>989</v>
      </c>
      <c r="E27" s="1255" t="s">
        <v>990</v>
      </c>
      <c r="F27" s="1256">
        <v>110</v>
      </c>
      <c r="G27" s="1257">
        <v>42.69</v>
      </c>
      <c r="H27" s="1258">
        <f>G27*1</f>
        <v>42.69</v>
      </c>
      <c r="I27" s="1033">
        <f t="shared" si="0"/>
        <v>4695.8999999999996</v>
      </c>
      <c r="J27" s="1142">
        <f t="shared" si="1"/>
        <v>4695.8999999999996</v>
      </c>
    </row>
    <row r="28" spans="2:10">
      <c r="B28" s="1154">
        <f t="shared" si="2"/>
        <v>24</v>
      </c>
      <c r="C28" s="1253" t="s">
        <v>1019</v>
      </c>
      <c r="D28" s="1254" t="s">
        <v>989</v>
      </c>
      <c r="E28" s="1255" t="s">
        <v>990</v>
      </c>
      <c r="F28" s="1256">
        <v>110</v>
      </c>
      <c r="G28" s="1257">
        <v>44.34</v>
      </c>
      <c r="H28" s="1258">
        <f>G28*1.07</f>
        <v>47.443800000000003</v>
      </c>
      <c r="I28" s="1033">
        <f t="shared" si="0"/>
        <v>4877.4000000000005</v>
      </c>
      <c r="J28" s="1142">
        <f t="shared" si="1"/>
        <v>5218.8180000000002</v>
      </c>
    </row>
    <row r="29" spans="2:10">
      <c r="B29" s="1154">
        <f t="shared" si="2"/>
        <v>25</v>
      </c>
      <c r="C29" s="1253" t="s">
        <v>1020</v>
      </c>
      <c r="D29" s="1254" t="s">
        <v>989</v>
      </c>
      <c r="E29" s="1255" t="s">
        <v>990</v>
      </c>
      <c r="F29" s="1256">
        <v>20</v>
      </c>
      <c r="G29" s="1257">
        <v>35.54</v>
      </c>
      <c r="H29" s="1258">
        <f>G29*1.07</f>
        <v>38.027799999999999</v>
      </c>
      <c r="I29" s="1033">
        <f t="shared" si="0"/>
        <v>710.8</v>
      </c>
      <c r="J29" s="1142">
        <f t="shared" si="1"/>
        <v>760.55600000000004</v>
      </c>
    </row>
    <row r="30" spans="2:10">
      <c r="B30" s="1154">
        <f t="shared" si="2"/>
        <v>26</v>
      </c>
      <c r="C30" s="1253" t="s">
        <v>1021</v>
      </c>
      <c r="D30" s="1254" t="s">
        <v>989</v>
      </c>
      <c r="E30" s="1255" t="s">
        <v>990</v>
      </c>
      <c r="F30" s="1256">
        <v>51</v>
      </c>
      <c r="G30" s="1257">
        <v>40</v>
      </c>
      <c r="H30" s="1258">
        <f>G30*1</f>
        <v>40</v>
      </c>
      <c r="I30" s="1033">
        <f t="shared" si="0"/>
        <v>2040</v>
      </c>
      <c r="J30" s="1142">
        <f t="shared" si="1"/>
        <v>2040</v>
      </c>
    </row>
    <row r="31" spans="2:10">
      <c r="B31" s="1154">
        <f t="shared" si="2"/>
        <v>27</v>
      </c>
      <c r="C31" s="1253" t="s">
        <v>1022</v>
      </c>
      <c r="D31" s="1254" t="s">
        <v>989</v>
      </c>
      <c r="E31" s="1255" t="s">
        <v>990</v>
      </c>
      <c r="F31" s="1256">
        <v>30</v>
      </c>
      <c r="G31" s="1257">
        <v>72.569999999999993</v>
      </c>
      <c r="H31" s="1258">
        <f>G31*1</f>
        <v>72.569999999999993</v>
      </c>
      <c r="I31" s="1033">
        <f t="shared" si="0"/>
        <v>2177.1</v>
      </c>
      <c r="J31" s="1142">
        <f t="shared" si="1"/>
        <v>2177.1</v>
      </c>
    </row>
    <row r="32" spans="2:10">
      <c r="B32" s="1154">
        <f t="shared" si="2"/>
        <v>28</v>
      </c>
      <c r="C32" s="1253" t="s">
        <v>1023</v>
      </c>
      <c r="D32" s="1254" t="s">
        <v>989</v>
      </c>
      <c r="E32" s="1255" t="s">
        <v>990</v>
      </c>
      <c r="F32" s="1256">
        <v>135</v>
      </c>
      <c r="G32" s="1257">
        <v>73.05</v>
      </c>
      <c r="H32" s="1258">
        <f t="shared" ref="H32:H47" si="4">G32*1.07</f>
        <v>78.163499999999999</v>
      </c>
      <c r="I32" s="1033">
        <f t="shared" si="0"/>
        <v>9861.75</v>
      </c>
      <c r="J32" s="1142">
        <f t="shared" si="1"/>
        <v>10552.0725</v>
      </c>
    </row>
    <row r="33" spans="2:10">
      <c r="B33" s="1154">
        <f t="shared" si="2"/>
        <v>29</v>
      </c>
      <c r="C33" s="1253" t="s">
        <v>1024</v>
      </c>
      <c r="D33" s="1254" t="s">
        <v>989</v>
      </c>
      <c r="E33" s="1255" t="s">
        <v>990</v>
      </c>
      <c r="F33" s="1256">
        <v>105</v>
      </c>
      <c r="G33" s="1257">
        <v>81.19</v>
      </c>
      <c r="H33" s="1258">
        <f t="shared" si="4"/>
        <v>86.8733</v>
      </c>
      <c r="I33" s="1033">
        <f t="shared" si="0"/>
        <v>8524.9499999999989</v>
      </c>
      <c r="J33" s="1142">
        <f t="shared" si="1"/>
        <v>9121.6965</v>
      </c>
    </row>
    <row r="34" spans="2:10" s="680" customFormat="1">
      <c r="B34" s="1229">
        <f t="shared" si="2"/>
        <v>30</v>
      </c>
      <c r="C34" s="1260" t="s">
        <v>1025</v>
      </c>
      <c r="D34" s="1261" t="s">
        <v>1004</v>
      </c>
      <c r="E34" s="1262" t="s">
        <v>990</v>
      </c>
      <c r="F34" s="1263">
        <v>20</v>
      </c>
      <c r="G34" s="1264">
        <v>46.1</v>
      </c>
      <c r="H34" s="1135">
        <f t="shared" si="4"/>
        <v>49.327000000000005</v>
      </c>
      <c r="I34" s="1130">
        <f t="shared" si="0"/>
        <v>922</v>
      </c>
      <c r="J34" s="1143">
        <f t="shared" si="1"/>
        <v>986.54000000000008</v>
      </c>
    </row>
    <row r="35" spans="2:10">
      <c r="B35" s="1154">
        <f t="shared" si="2"/>
        <v>31</v>
      </c>
      <c r="C35" s="1253" t="s">
        <v>1026</v>
      </c>
      <c r="D35" s="1254" t="s">
        <v>1027</v>
      </c>
      <c r="E35" s="1255" t="s">
        <v>990</v>
      </c>
      <c r="F35" s="1256">
        <v>5</v>
      </c>
      <c r="G35" s="1257">
        <v>751.67</v>
      </c>
      <c r="H35" s="1258">
        <f t="shared" si="4"/>
        <v>804.28690000000006</v>
      </c>
      <c r="I35" s="1033">
        <f t="shared" si="0"/>
        <v>3758.35</v>
      </c>
      <c r="J35" s="1142">
        <f t="shared" si="1"/>
        <v>4021.4345000000003</v>
      </c>
    </row>
    <row r="36" spans="2:10">
      <c r="B36" s="1154">
        <f t="shared" si="2"/>
        <v>32</v>
      </c>
      <c r="C36" s="1253" t="s">
        <v>1028</v>
      </c>
      <c r="D36" s="1254" t="s">
        <v>1029</v>
      </c>
      <c r="E36" s="1255" t="s">
        <v>990</v>
      </c>
      <c r="F36" s="1256">
        <v>10</v>
      </c>
      <c r="G36" s="1257">
        <v>83.68</v>
      </c>
      <c r="H36" s="1258">
        <f t="shared" si="4"/>
        <v>89.537600000000012</v>
      </c>
      <c r="I36" s="1033">
        <f t="shared" si="0"/>
        <v>836.80000000000007</v>
      </c>
      <c r="J36" s="1142">
        <f t="shared" si="1"/>
        <v>895.37600000000009</v>
      </c>
    </row>
    <row r="37" spans="2:10">
      <c r="B37" s="1154">
        <f t="shared" si="2"/>
        <v>33</v>
      </c>
      <c r="C37" s="1253" t="s">
        <v>1030</v>
      </c>
      <c r="D37" s="1254" t="s">
        <v>1006</v>
      </c>
      <c r="E37" s="1255" t="s">
        <v>990</v>
      </c>
      <c r="F37" s="1256">
        <v>35</v>
      </c>
      <c r="G37" s="1257">
        <v>140</v>
      </c>
      <c r="H37" s="1258">
        <f t="shared" si="4"/>
        <v>149.80000000000001</v>
      </c>
      <c r="I37" s="1033">
        <f t="shared" ref="I37:I66" si="5">G37*F37</f>
        <v>4900</v>
      </c>
      <c r="J37" s="1142">
        <f t="shared" ref="J37:J66" si="6">H37*F37</f>
        <v>5243</v>
      </c>
    </row>
    <row r="38" spans="2:10">
      <c r="B38" s="1154">
        <f t="shared" si="2"/>
        <v>34</v>
      </c>
      <c r="C38" s="1259" t="s">
        <v>1031</v>
      </c>
      <c r="D38" s="1254" t="s">
        <v>1002</v>
      </c>
      <c r="E38" s="1255" t="s">
        <v>990</v>
      </c>
      <c r="F38" s="1256">
        <v>8</v>
      </c>
      <c r="G38" s="1257">
        <v>93.42</v>
      </c>
      <c r="H38" s="1258">
        <f t="shared" si="4"/>
        <v>99.959400000000002</v>
      </c>
      <c r="I38" s="1033">
        <f t="shared" si="5"/>
        <v>747.36</v>
      </c>
      <c r="J38" s="1142">
        <f t="shared" si="6"/>
        <v>799.67520000000002</v>
      </c>
    </row>
    <row r="39" spans="2:10">
      <c r="B39" s="1154">
        <f t="shared" si="2"/>
        <v>35</v>
      </c>
      <c r="C39" s="1253" t="s">
        <v>1032</v>
      </c>
      <c r="D39" s="1254" t="s">
        <v>1033</v>
      </c>
      <c r="E39" s="1255" t="s">
        <v>990</v>
      </c>
      <c r="F39" s="1256">
        <v>10</v>
      </c>
      <c r="G39" s="1257">
        <v>170.16</v>
      </c>
      <c r="H39" s="1258">
        <f t="shared" si="4"/>
        <v>182.0712</v>
      </c>
      <c r="I39" s="1033">
        <f t="shared" si="5"/>
        <v>1701.6</v>
      </c>
      <c r="J39" s="1142">
        <f t="shared" si="6"/>
        <v>1820.712</v>
      </c>
    </row>
    <row r="40" spans="2:10">
      <c r="B40" s="1154">
        <f t="shared" si="2"/>
        <v>36</v>
      </c>
      <c r="C40" s="1259" t="s">
        <v>1034</v>
      </c>
      <c r="D40" s="1254" t="s">
        <v>1035</v>
      </c>
      <c r="E40" s="1255" t="s">
        <v>990</v>
      </c>
      <c r="F40" s="1256">
        <v>60</v>
      </c>
      <c r="G40" s="1257">
        <v>60.4</v>
      </c>
      <c r="H40" s="1258">
        <f t="shared" si="4"/>
        <v>64.628</v>
      </c>
      <c r="I40" s="1033">
        <f t="shared" si="5"/>
        <v>3624</v>
      </c>
      <c r="J40" s="1142">
        <f t="shared" si="6"/>
        <v>3877.68</v>
      </c>
    </row>
    <row r="41" spans="2:10">
      <c r="B41" s="1154">
        <f t="shared" si="2"/>
        <v>37</v>
      </c>
      <c r="C41" s="1259" t="s">
        <v>1036</v>
      </c>
      <c r="D41" s="1254" t="s">
        <v>989</v>
      </c>
      <c r="E41" s="1255" t="s">
        <v>990</v>
      </c>
      <c r="F41" s="1256">
        <v>172</v>
      </c>
      <c r="G41" s="1257">
        <v>130.47</v>
      </c>
      <c r="H41" s="1258">
        <f t="shared" si="4"/>
        <v>139.60290000000001</v>
      </c>
      <c r="I41" s="1033">
        <f t="shared" si="5"/>
        <v>22440.84</v>
      </c>
      <c r="J41" s="1142">
        <f t="shared" si="6"/>
        <v>24011.698800000002</v>
      </c>
    </row>
    <row r="42" spans="2:10">
      <c r="B42" s="1154">
        <f t="shared" si="2"/>
        <v>38</v>
      </c>
      <c r="C42" s="1253" t="s">
        <v>1037</v>
      </c>
      <c r="D42" s="1254" t="s">
        <v>1013</v>
      </c>
      <c r="E42" s="1255" t="s">
        <v>990</v>
      </c>
      <c r="F42" s="1256">
        <v>52</v>
      </c>
      <c r="G42" s="1257">
        <v>465.94</v>
      </c>
      <c r="H42" s="1258">
        <f t="shared" si="4"/>
        <v>498.55580000000003</v>
      </c>
      <c r="I42" s="1033">
        <f t="shared" si="5"/>
        <v>24228.880000000001</v>
      </c>
      <c r="J42" s="1142">
        <f t="shared" si="6"/>
        <v>25924.901600000001</v>
      </c>
    </row>
    <row r="43" spans="2:10" ht="31.5">
      <c r="B43" s="1154">
        <f t="shared" si="2"/>
        <v>39</v>
      </c>
      <c r="C43" s="1253" t="s">
        <v>1038</v>
      </c>
      <c r="D43" s="1254" t="s">
        <v>1039</v>
      </c>
      <c r="E43" s="1255" t="s">
        <v>990</v>
      </c>
      <c r="F43" s="1256">
        <v>40</v>
      </c>
      <c r="G43" s="1257">
        <v>1633.44</v>
      </c>
      <c r="H43" s="1258">
        <f t="shared" si="4"/>
        <v>1747.7808000000002</v>
      </c>
      <c r="I43" s="1033">
        <f t="shared" si="5"/>
        <v>65337.600000000006</v>
      </c>
      <c r="J43" s="1142">
        <f t="shared" si="6"/>
        <v>69911.232000000004</v>
      </c>
    </row>
    <row r="44" spans="2:10">
      <c r="B44" s="1154">
        <f t="shared" si="2"/>
        <v>40</v>
      </c>
      <c r="C44" s="1259" t="s">
        <v>1040</v>
      </c>
      <c r="D44" s="1254" t="s">
        <v>989</v>
      </c>
      <c r="E44" s="1255" t="s">
        <v>1015</v>
      </c>
      <c r="F44" s="1256">
        <v>100</v>
      </c>
      <c r="G44" s="1257">
        <v>30.81</v>
      </c>
      <c r="H44" s="1258">
        <f t="shared" si="4"/>
        <v>32.966700000000003</v>
      </c>
      <c r="I44" s="1033">
        <f t="shared" si="5"/>
        <v>3081</v>
      </c>
      <c r="J44" s="1142">
        <f t="shared" si="6"/>
        <v>3296.67</v>
      </c>
    </row>
    <row r="45" spans="2:10">
      <c r="B45" s="1154">
        <f t="shared" si="2"/>
        <v>41</v>
      </c>
      <c r="C45" s="1253" t="s">
        <v>1041</v>
      </c>
      <c r="D45" s="1254" t="s">
        <v>1042</v>
      </c>
      <c r="E45" s="1255" t="s">
        <v>990</v>
      </c>
      <c r="F45" s="1256">
        <v>6</v>
      </c>
      <c r="G45" s="1257">
        <v>8.69</v>
      </c>
      <c r="H45" s="1258">
        <f t="shared" si="4"/>
        <v>9.2982999999999993</v>
      </c>
      <c r="I45" s="1033">
        <f t="shared" si="5"/>
        <v>52.14</v>
      </c>
      <c r="J45" s="1142">
        <f t="shared" si="6"/>
        <v>55.7898</v>
      </c>
    </row>
    <row r="46" spans="2:10">
      <c r="B46" s="1154">
        <f t="shared" si="2"/>
        <v>42</v>
      </c>
      <c r="C46" s="1253" t="s">
        <v>1043</v>
      </c>
      <c r="D46" s="1254" t="s">
        <v>989</v>
      </c>
      <c r="E46" s="1255" t="s">
        <v>990</v>
      </c>
      <c r="F46" s="1256">
        <v>200</v>
      </c>
      <c r="G46" s="1257">
        <v>18.489999999999998</v>
      </c>
      <c r="H46" s="1258">
        <f t="shared" si="4"/>
        <v>19.784299999999998</v>
      </c>
      <c r="I46" s="1033">
        <f t="shared" si="5"/>
        <v>3697.9999999999995</v>
      </c>
      <c r="J46" s="1142">
        <f t="shared" si="6"/>
        <v>3956.8599999999997</v>
      </c>
    </row>
    <row r="47" spans="2:10">
      <c r="B47" s="1154">
        <f t="shared" si="2"/>
        <v>43</v>
      </c>
      <c r="C47" s="1253" t="s">
        <v>1044</v>
      </c>
      <c r="D47" s="1254" t="s">
        <v>989</v>
      </c>
      <c r="E47" s="1255" t="s">
        <v>990</v>
      </c>
      <c r="F47" s="1256">
        <v>20</v>
      </c>
      <c r="G47" s="1257">
        <v>23.3</v>
      </c>
      <c r="H47" s="1258">
        <f t="shared" si="4"/>
        <v>24.931000000000001</v>
      </c>
      <c r="I47" s="1033">
        <f t="shared" si="5"/>
        <v>466</v>
      </c>
      <c r="J47" s="1142">
        <f t="shared" si="6"/>
        <v>498.62</v>
      </c>
    </row>
    <row r="48" spans="2:10">
      <c r="B48" s="1154">
        <f t="shared" si="2"/>
        <v>44</v>
      </c>
      <c r="C48" s="1253" t="s">
        <v>1045</v>
      </c>
      <c r="D48" s="1254" t="s">
        <v>1006</v>
      </c>
      <c r="E48" s="1255" t="s">
        <v>990</v>
      </c>
      <c r="F48" s="1256">
        <v>17</v>
      </c>
      <c r="G48" s="1257">
        <v>655.04</v>
      </c>
      <c r="H48" s="1258">
        <f>G48*1</f>
        <v>655.04</v>
      </c>
      <c r="I48" s="1033">
        <f t="shared" si="5"/>
        <v>11135.68</v>
      </c>
      <c r="J48" s="1142">
        <f t="shared" si="6"/>
        <v>11135.68</v>
      </c>
    </row>
    <row r="49" spans="2:10">
      <c r="B49" s="1154">
        <f t="shared" si="2"/>
        <v>45</v>
      </c>
      <c r="C49" s="1253" t="s">
        <v>1046</v>
      </c>
      <c r="D49" s="1254" t="s">
        <v>1006</v>
      </c>
      <c r="E49" s="1255" t="s">
        <v>990</v>
      </c>
      <c r="F49" s="1256">
        <v>10</v>
      </c>
      <c r="G49" s="1257">
        <v>253.19</v>
      </c>
      <c r="H49" s="1258">
        <f>G49*1</f>
        <v>253.19</v>
      </c>
      <c r="I49" s="1033">
        <f t="shared" si="5"/>
        <v>2531.9</v>
      </c>
      <c r="J49" s="1142">
        <f t="shared" si="6"/>
        <v>2531.9</v>
      </c>
    </row>
    <row r="50" spans="2:10">
      <c r="B50" s="1154">
        <f t="shared" si="2"/>
        <v>46</v>
      </c>
      <c r="C50" s="1253" t="s">
        <v>1047</v>
      </c>
      <c r="D50" s="1254" t="s">
        <v>1048</v>
      </c>
      <c r="E50" s="1255" t="s">
        <v>1049</v>
      </c>
      <c r="F50" s="1256">
        <v>4</v>
      </c>
      <c r="G50" s="1257">
        <v>3851.34</v>
      </c>
      <c r="H50" s="1258">
        <f>G50*1.07</f>
        <v>4120.9338000000007</v>
      </c>
      <c r="I50" s="1033">
        <f t="shared" si="5"/>
        <v>15405.36</v>
      </c>
      <c r="J50" s="1142">
        <f t="shared" si="6"/>
        <v>16483.735200000003</v>
      </c>
    </row>
    <row r="51" spans="2:10">
      <c r="B51" s="1154">
        <f t="shared" si="2"/>
        <v>47</v>
      </c>
      <c r="C51" s="1253" t="s">
        <v>1050</v>
      </c>
      <c r="D51" s="1254" t="s">
        <v>989</v>
      </c>
      <c r="E51" s="1255" t="s">
        <v>990</v>
      </c>
      <c r="F51" s="1256">
        <v>10</v>
      </c>
      <c r="G51" s="1257">
        <v>150</v>
      </c>
      <c r="H51" s="1258">
        <f>G51*1.07</f>
        <v>160.5</v>
      </c>
      <c r="I51" s="1033">
        <f t="shared" si="5"/>
        <v>1500</v>
      </c>
      <c r="J51" s="1142">
        <f t="shared" si="6"/>
        <v>1605</v>
      </c>
    </row>
    <row r="52" spans="2:10">
      <c r="B52" s="1154">
        <f t="shared" si="2"/>
        <v>48</v>
      </c>
      <c r="C52" s="1253" t="s">
        <v>1051</v>
      </c>
      <c r="D52" s="1254" t="s">
        <v>989</v>
      </c>
      <c r="E52" s="1255" t="s">
        <v>990</v>
      </c>
      <c r="F52" s="1256">
        <v>144</v>
      </c>
      <c r="G52" s="1257">
        <v>47.52</v>
      </c>
      <c r="H52" s="1258">
        <f>G52*1</f>
        <v>47.52</v>
      </c>
      <c r="I52" s="1033">
        <f t="shared" si="5"/>
        <v>6842.88</v>
      </c>
      <c r="J52" s="1142">
        <f t="shared" si="6"/>
        <v>6842.88</v>
      </c>
    </row>
    <row r="53" spans="2:10">
      <c r="B53" s="1154">
        <f t="shared" si="2"/>
        <v>49</v>
      </c>
      <c r="C53" s="1253" t="s">
        <v>1052</v>
      </c>
      <c r="D53" s="1254" t="s">
        <v>1053</v>
      </c>
      <c r="E53" s="1255" t="s">
        <v>990</v>
      </c>
      <c r="F53" s="1256">
        <v>100</v>
      </c>
      <c r="G53" s="1257">
        <v>61.61</v>
      </c>
      <c r="H53" s="1258">
        <f>G53*1.07</f>
        <v>65.922700000000006</v>
      </c>
      <c r="I53" s="1033">
        <f t="shared" si="5"/>
        <v>6161</v>
      </c>
      <c r="J53" s="1142">
        <f t="shared" si="6"/>
        <v>6592.27</v>
      </c>
    </row>
    <row r="54" spans="2:10">
      <c r="B54" s="1154">
        <f t="shared" si="2"/>
        <v>50</v>
      </c>
      <c r="C54" s="1253" t="s">
        <v>1054</v>
      </c>
      <c r="D54" s="1254" t="s">
        <v>1055</v>
      </c>
      <c r="E54" s="1255" t="s">
        <v>990</v>
      </c>
      <c r="F54" s="1256">
        <v>93</v>
      </c>
      <c r="G54" s="1257">
        <v>122.55</v>
      </c>
      <c r="H54" s="1258">
        <f>G54*1.07</f>
        <v>131.1285</v>
      </c>
      <c r="I54" s="1033">
        <f t="shared" si="5"/>
        <v>11397.15</v>
      </c>
      <c r="J54" s="1142">
        <f t="shared" si="6"/>
        <v>12194.950500000001</v>
      </c>
    </row>
    <row r="55" spans="2:10">
      <c r="B55" s="1154">
        <f t="shared" si="2"/>
        <v>51</v>
      </c>
      <c r="C55" s="1253" t="s">
        <v>1056</v>
      </c>
      <c r="D55" s="1254" t="s">
        <v>989</v>
      </c>
      <c r="E55" s="1255" t="s">
        <v>1015</v>
      </c>
      <c r="F55" s="1256">
        <v>950</v>
      </c>
      <c r="G55" s="1257">
        <v>40</v>
      </c>
      <c r="H55" s="1258">
        <f>G55*1</f>
        <v>40</v>
      </c>
      <c r="I55" s="1033">
        <f t="shared" si="5"/>
        <v>38000</v>
      </c>
      <c r="J55" s="1142">
        <f t="shared" si="6"/>
        <v>38000</v>
      </c>
    </row>
    <row r="56" spans="2:10" ht="31.5">
      <c r="B56" s="1154">
        <f t="shared" si="2"/>
        <v>52</v>
      </c>
      <c r="C56" s="1253" t="s">
        <v>1057</v>
      </c>
      <c r="D56" s="1254" t="s">
        <v>1006</v>
      </c>
      <c r="E56" s="1255" t="s">
        <v>990</v>
      </c>
      <c r="F56" s="1256">
        <v>80</v>
      </c>
      <c r="G56" s="1257">
        <v>549.9</v>
      </c>
      <c r="H56" s="1258">
        <f>G56*1</f>
        <v>549.9</v>
      </c>
      <c r="I56" s="1033">
        <f t="shared" si="5"/>
        <v>43992</v>
      </c>
      <c r="J56" s="1142">
        <f t="shared" si="6"/>
        <v>43992</v>
      </c>
    </row>
    <row r="57" spans="2:10">
      <c r="B57" s="1154">
        <f t="shared" si="2"/>
        <v>53</v>
      </c>
      <c r="C57" s="1259" t="s">
        <v>1058</v>
      </c>
      <c r="D57" s="1254" t="s">
        <v>989</v>
      </c>
      <c r="E57" s="1255" t="s">
        <v>990</v>
      </c>
      <c r="F57" s="1256">
        <v>15</v>
      </c>
      <c r="G57" s="1257">
        <v>10.9</v>
      </c>
      <c r="H57" s="1258">
        <f>G57*1.07</f>
        <v>11.663</v>
      </c>
      <c r="I57" s="1033">
        <f t="shared" si="5"/>
        <v>163.5</v>
      </c>
      <c r="J57" s="1142">
        <f t="shared" si="6"/>
        <v>174.94499999999999</v>
      </c>
    </row>
    <row r="58" spans="2:10">
      <c r="B58" s="1154">
        <f t="shared" si="2"/>
        <v>54</v>
      </c>
      <c r="C58" s="1253" t="s">
        <v>1059</v>
      </c>
      <c r="D58" s="1254" t="s">
        <v>989</v>
      </c>
      <c r="E58" s="1255" t="s">
        <v>990</v>
      </c>
      <c r="F58" s="1256">
        <v>20</v>
      </c>
      <c r="G58" s="1257">
        <v>50.96</v>
      </c>
      <c r="H58" s="1258">
        <f>G58*1</f>
        <v>50.96</v>
      </c>
      <c r="I58" s="1033">
        <f t="shared" si="5"/>
        <v>1019.2</v>
      </c>
      <c r="J58" s="1142">
        <f t="shared" si="6"/>
        <v>1019.2</v>
      </c>
    </row>
    <row r="59" spans="2:10">
      <c r="B59" s="1154">
        <f t="shared" si="2"/>
        <v>55</v>
      </c>
      <c r="C59" s="1253" t="s">
        <v>1060</v>
      </c>
      <c r="D59" s="1254" t="s">
        <v>1061</v>
      </c>
      <c r="E59" s="1255" t="s">
        <v>990</v>
      </c>
      <c r="F59" s="1256">
        <v>3</v>
      </c>
      <c r="G59" s="1257">
        <v>1375</v>
      </c>
      <c r="H59" s="1258">
        <f>G59*1</f>
        <v>1375</v>
      </c>
      <c r="I59" s="1033">
        <f t="shared" si="5"/>
        <v>4125</v>
      </c>
      <c r="J59" s="1142">
        <f t="shared" si="6"/>
        <v>4125</v>
      </c>
    </row>
    <row r="60" spans="2:10">
      <c r="B60" s="1154">
        <f t="shared" si="2"/>
        <v>56</v>
      </c>
      <c r="C60" s="1253" t="s">
        <v>1062</v>
      </c>
      <c r="D60" s="1254" t="s">
        <v>989</v>
      </c>
      <c r="E60" s="1255" t="s">
        <v>990</v>
      </c>
      <c r="F60" s="1256">
        <v>4</v>
      </c>
      <c r="G60" s="1257">
        <v>89</v>
      </c>
      <c r="H60" s="1258">
        <f>G60*1.07</f>
        <v>95.23</v>
      </c>
      <c r="I60" s="1033">
        <f t="shared" si="5"/>
        <v>356</v>
      </c>
      <c r="J60" s="1142">
        <f t="shared" si="6"/>
        <v>380.92</v>
      </c>
    </row>
    <row r="61" spans="2:10">
      <c r="B61" s="1154">
        <f t="shared" si="2"/>
        <v>57</v>
      </c>
      <c r="C61" s="1253" t="s">
        <v>1063</v>
      </c>
      <c r="D61" s="1254" t="s">
        <v>989</v>
      </c>
      <c r="E61" s="1255" t="s">
        <v>990</v>
      </c>
      <c r="F61" s="1256">
        <v>17</v>
      </c>
      <c r="G61" s="1257">
        <v>347.81</v>
      </c>
      <c r="H61" s="1258">
        <f>G61*1.07</f>
        <v>372.1567</v>
      </c>
      <c r="I61" s="1033">
        <f t="shared" si="5"/>
        <v>5912.77</v>
      </c>
      <c r="J61" s="1142">
        <f t="shared" si="6"/>
        <v>6326.6638999999996</v>
      </c>
    </row>
    <row r="62" spans="2:10">
      <c r="B62" s="1154">
        <f t="shared" si="2"/>
        <v>58</v>
      </c>
      <c r="C62" s="1259" t="s">
        <v>1064</v>
      </c>
      <c r="D62" s="1254" t="s">
        <v>1065</v>
      </c>
      <c r="E62" s="1255" t="s">
        <v>990</v>
      </c>
      <c r="F62" s="1256">
        <v>10</v>
      </c>
      <c r="G62" s="1257">
        <v>73.37</v>
      </c>
      <c r="H62" s="1258">
        <f>G62*1</f>
        <v>73.37</v>
      </c>
      <c r="I62" s="1033">
        <f t="shared" si="5"/>
        <v>733.7</v>
      </c>
      <c r="J62" s="1142">
        <f t="shared" si="6"/>
        <v>733.7</v>
      </c>
    </row>
    <row r="63" spans="2:10">
      <c r="B63" s="1154">
        <f t="shared" si="2"/>
        <v>59</v>
      </c>
      <c r="C63" s="1253" t="s">
        <v>1066</v>
      </c>
      <c r="D63" s="1254" t="s">
        <v>1067</v>
      </c>
      <c r="E63" s="1255" t="s">
        <v>990</v>
      </c>
      <c r="F63" s="1256">
        <v>10</v>
      </c>
      <c r="G63" s="1257">
        <v>48</v>
      </c>
      <c r="H63" s="1258">
        <f>G63*1.07</f>
        <v>51.36</v>
      </c>
      <c r="I63" s="1033">
        <f t="shared" si="5"/>
        <v>480</v>
      </c>
      <c r="J63" s="1142">
        <f t="shared" si="6"/>
        <v>513.6</v>
      </c>
    </row>
    <row r="64" spans="2:10">
      <c r="B64" s="1154">
        <f t="shared" si="2"/>
        <v>60</v>
      </c>
      <c r="C64" s="1253" t="s">
        <v>1068</v>
      </c>
      <c r="D64" s="1254" t="s">
        <v>989</v>
      </c>
      <c r="E64" s="1255" t="s">
        <v>990</v>
      </c>
      <c r="F64" s="1256">
        <v>226</v>
      </c>
      <c r="G64" s="1257">
        <v>33.14</v>
      </c>
      <c r="H64" s="1258">
        <f>G64*1.07</f>
        <v>35.459800000000001</v>
      </c>
      <c r="I64" s="1033">
        <f t="shared" si="5"/>
        <v>7489.64</v>
      </c>
      <c r="J64" s="1142">
        <f t="shared" si="6"/>
        <v>8013.9148000000005</v>
      </c>
    </row>
    <row r="65" spans="2:10">
      <c r="B65" s="1154">
        <f t="shared" si="2"/>
        <v>61</v>
      </c>
      <c r="C65" s="1253" t="s">
        <v>1069</v>
      </c>
      <c r="D65" s="1254" t="s">
        <v>1070</v>
      </c>
      <c r="E65" s="1255" t="s">
        <v>990</v>
      </c>
      <c r="F65" s="1256">
        <v>27</v>
      </c>
      <c r="G65" s="1257">
        <v>260.25</v>
      </c>
      <c r="H65" s="1258">
        <f>G65*1.07</f>
        <v>278.46750000000003</v>
      </c>
      <c r="I65" s="1033">
        <f t="shared" si="5"/>
        <v>7026.75</v>
      </c>
      <c r="J65" s="1142">
        <f t="shared" si="6"/>
        <v>7518.6225000000004</v>
      </c>
    </row>
    <row r="66" spans="2:10">
      <c r="B66" s="1154">
        <f t="shared" si="2"/>
        <v>62</v>
      </c>
      <c r="C66" s="1253" t="s">
        <v>1071</v>
      </c>
      <c r="D66" s="1254" t="s">
        <v>989</v>
      </c>
      <c r="E66" s="1255" t="s">
        <v>990</v>
      </c>
      <c r="F66" s="1256">
        <v>20</v>
      </c>
      <c r="G66" s="1257">
        <v>42.5</v>
      </c>
      <c r="H66" s="1258">
        <f>G66*1</f>
        <v>42.5</v>
      </c>
      <c r="I66" s="1033">
        <f t="shared" si="5"/>
        <v>850</v>
      </c>
      <c r="J66" s="1142">
        <f t="shared" si="6"/>
        <v>850</v>
      </c>
    </row>
    <row r="67" spans="2:10">
      <c r="B67" s="1154">
        <f t="shared" si="2"/>
        <v>63</v>
      </c>
      <c r="C67" s="1253" t="s">
        <v>1072</v>
      </c>
      <c r="D67" s="1254" t="s">
        <v>1067</v>
      </c>
      <c r="E67" s="1255" t="s">
        <v>990</v>
      </c>
      <c r="F67" s="1256">
        <v>500</v>
      </c>
      <c r="G67" s="1257">
        <v>108.49</v>
      </c>
      <c r="H67" s="1258">
        <f>G67*1</f>
        <v>108.49</v>
      </c>
      <c r="I67" s="1033">
        <f t="shared" ref="I67:I98" si="7">G67*F67</f>
        <v>54245</v>
      </c>
      <c r="J67" s="1142">
        <f t="shared" ref="J67:J98" si="8">H67*F67</f>
        <v>54245</v>
      </c>
    </row>
    <row r="68" spans="2:10">
      <c r="B68" s="1154">
        <f t="shared" si="2"/>
        <v>64</v>
      </c>
      <c r="C68" s="1253" t="s">
        <v>1073</v>
      </c>
      <c r="D68" s="1254" t="s">
        <v>1055</v>
      </c>
      <c r="E68" s="1255" t="s">
        <v>990</v>
      </c>
      <c r="F68" s="1256">
        <v>1050</v>
      </c>
      <c r="G68" s="1257">
        <v>105.74</v>
      </c>
      <c r="H68" s="1258">
        <f>G68*1</f>
        <v>105.74</v>
      </c>
      <c r="I68" s="1033">
        <f t="shared" si="7"/>
        <v>111027</v>
      </c>
      <c r="J68" s="1142">
        <f t="shared" si="8"/>
        <v>111027</v>
      </c>
    </row>
    <row r="69" spans="2:10">
      <c r="B69" s="1154">
        <f t="shared" si="2"/>
        <v>65</v>
      </c>
      <c r="C69" s="1253" t="s">
        <v>1074</v>
      </c>
      <c r="D69" s="1254" t="s">
        <v>1055</v>
      </c>
      <c r="E69" s="1255" t="s">
        <v>990</v>
      </c>
      <c r="F69" s="1256">
        <v>15</v>
      </c>
      <c r="G69" s="1257">
        <v>1351.35</v>
      </c>
      <c r="H69" s="1258">
        <f>G69*1</f>
        <v>1351.35</v>
      </c>
      <c r="I69" s="1033">
        <f t="shared" si="7"/>
        <v>20270.25</v>
      </c>
      <c r="J69" s="1142">
        <f t="shared" si="8"/>
        <v>20270.25</v>
      </c>
    </row>
    <row r="70" spans="2:10">
      <c r="B70" s="1154">
        <f t="shared" si="2"/>
        <v>66</v>
      </c>
      <c r="C70" s="1253" t="s">
        <v>1075</v>
      </c>
      <c r="D70" s="1254" t="s">
        <v>1076</v>
      </c>
      <c r="E70" s="1255" t="s">
        <v>990</v>
      </c>
      <c r="F70" s="1256">
        <v>7</v>
      </c>
      <c r="G70" s="1257">
        <v>203.39</v>
      </c>
      <c r="H70" s="1258">
        <f>G70*1.07</f>
        <v>217.62729999999999</v>
      </c>
      <c r="I70" s="1033">
        <f t="shared" si="7"/>
        <v>1423.73</v>
      </c>
      <c r="J70" s="1142">
        <f t="shared" si="8"/>
        <v>1523.3910999999998</v>
      </c>
    </row>
    <row r="71" spans="2:10">
      <c r="B71" s="1154">
        <f t="shared" ref="B71:B134" si="9">1+B70</f>
        <v>67</v>
      </c>
      <c r="C71" s="1253" t="s">
        <v>1077</v>
      </c>
      <c r="D71" s="1254" t="s">
        <v>1006</v>
      </c>
      <c r="E71" s="1255" t="s">
        <v>990</v>
      </c>
      <c r="F71" s="1256">
        <v>20</v>
      </c>
      <c r="G71" s="1257">
        <v>47.5</v>
      </c>
      <c r="H71" s="1258">
        <f>G71*1.07</f>
        <v>50.825000000000003</v>
      </c>
      <c r="I71" s="1033">
        <f t="shared" si="7"/>
        <v>950</v>
      </c>
      <c r="J71" s="1142">
        <f t="shared" si="8"/>
        <v>1016.5</v>
      </c>
    </row>
    <row r="72" spans="2:10">
      <c r="B72" s="1154">
        <f t="shared" si="9"/>
        <v>68</v>
      </c>
      <c r="C72" s="1253" t="s">
        <v>1078</v>
      </c>
      <c r="D72" s="1254" t="s">
        <v>1076</v>
      </c>
      <c r="E72" s="1255" t="s">
        <v>990</v>
      </c>
      <c r="F72" s="1256">
        <v>20</v>
      </c>
      <c r="G72" s="1257">
        <v>124.2</v>
      </c>
      <c r="H72" s="1258">
        <f>G72*1.07</f>
        <v>132.89400000000001</v>
      </c>
      <c r="I72" s="1033">
        <f t="shared" si="7"/>
        <v>2484</v>
      </c>
      <c r="J72" s="1142">
        <f t="shared" si="8"/>
        <v>2657.88</v>
      </c>
    </row>
    <row r="73" spans="2:10">
      <c r="B73" s="1154">
        <f t="shared" si="9"/>
        <v>69</v>
      </c>
      <c r="C73" s="1259" t="s">
        <v>1079</v>
      </c>
      <c r="D73" s="1254" t="s">
        <v>989</v>
      </c>
      <c r="E73" s="1255" t="s">
        <v>990</v>
      </c>
      <c r="F73" s="1256">
        <v>20</v>
      </c>
      <c r="G73" s="1257">
        <v>96.81</v>
      </c>
      <c r="H73" s="1258">
        <f>G73*1.07</f>
        <v>103.58670000000001</v>
      </c>
      <c r="I73" s="1033">
        <f t="shared" si="7"/>
        <v>1936.2</v>
      </c>
      <c r="J73" s="1142">
        <f t="shared" si="8"/>
        <v>2071.7340000000004</v>
      </c>
    </row>
    <row r="74" spans="2:10">
      <c r="B74" s="1154">
        <f t="shared" si="9"/>
        <v>70</v>
      </c>
      <c r="C74" s="1259" t="s">
        <v>1080</v>
      </c>
      <c r="D74" s="1254" t="s">
        <v>1081</v>
      </c>
      <c r="E74" s="1255" t="s">
        <v>990</v>
      </c>
      <c r="F74" s="1256">
        <v>1</v>
      </c>
      <c r="G74" s="1257">
        <v>417.9</v>
      </c>
      <c r="H74" s="1258">
        <f>G74*1</f>
        <v>417.9</v>
      </c>
      <c r="I74" s="1033">
        <f t="shared" si="7"/>
        <v>417.9</v>
      </c>
      <c r="J74" s="1142">
        <f t="shared" si="8"/>
        <v>417.9</v>
      </c>
    </row>
    <row r="75" spans="2:10">
      <c r="B75" s="1154">
        <f t="shared" si="9"/>
        <v>71</v>
      </c>
      <c r="C75" s="1253" t="s">
        <v>1082</v>
      </c>
      <c r="D75" s="1254" t="s">
        <v>1076</v>
      </c>
      <c r="E75" s="1255" t="s">
        <v>990</v>
      </c>
      <c r="F75" s="1256">
        <v>20</v>
      </c>
      <c r="G75" s="1257">
        <v>89.3</v>
      </c>
      <c r="H75" s="1258">
        <f t="shared" ref="H75:H82" si="10">G75*1.07</f>
        <v>95.551000000000002</v>
      </c>
      <c r="I75" s="1033">
        <f t="shared" si="7"/>
        <v>1786</v>
      </c>
      <c r="J75" s="1142">
        <f t="shared" si="8"/>
        <v>1911.02</v>
      </c>
    </row>
    <row r="76" spans="2:10">
      <c r="B76" s="1154">
        <f t="shared" si="9"/>
        <v>72</v>
      </c>
      <c r="C76" s="1259" t="s">
        <v>1083</v>
      </c>
      <c r="D76" s="1254" t="s">
        <v>989</v>
      </c>
      <c r="E76" s="1255" t="s">
        <v>990</v>
      </c>
      <c r="F76" s="1256">
        <v>5</v>
      </c>
      <c r="G76" s="1257">
        <v>100.39</v>
      </c>
      <c r="H76" s="1258">
        <f t="shared" si="10"/>
        <v>107.41730000000001</v>
      </c>
      <c r="I76" s="1033">
        <f t="shared" si="7"/>
        <v>501.95</v>
      </c>
      <c r="J76" s="1142">
        <f t="shared" si="8"/>
        <v>537.08650000000011</v>
      </c>
    </row>
    <row r="77" spans="2:10">
      <c r="B77" s="1154">
        <f t="shared" si="9"/>
        <v>73</v>
      </c>
      <c r="C77" s="1253" t="s">
        <v>1084</v>
      </c>
      <c r="D77" s="1254" t="s">
        <v>1085</v>
      </c>
      <c r="E77" s="1255" t="s">
        <v>990</v>
      </c>
      <c r="F77" s="1256">
        <v>10</v>
      </c>
      <c r="G77" s="1257">
        <v>170.11</v>
      </c>
      <c r="H77" s="1258">
        <f t="shared" si="10"/>
        <v>182.01770000000002</v>
      </c>
      <c r="I77" s="1033">
        <f t="shared" si="7"/>
        <v>1701.1000000000001</v>
      </c>
      <c r="J77" s="1142">
        <f t="shared" si="8"/>
        <v>1820.1770000000001</v>
      </c>
    </row>
    <row r="78" spans="2:10">
      <c r="B78" s="1154">
        <f t="shared" si="9"/>
        <v>74</v>
      </c>
      <c r="C78" s="1253" t="s">
        <v>1086</v>
      </c>
      <c r="D78" s="1254" t="s">
        <v>1085</v>
      </c>
      <c r="E78" s="1255" t="s">
        <v>990</v>
      </c>
      <c r="F78" s="1256">
        <v>10</v>
      </c>
      <c r="G78" s="1257">
        <v>41.7</v>
      </c>
      <c r="H78" s="1258">
        <f t="shared" si="10"/>
        <v>44.619000000000007</v>
      </c>
      <c r="I78" s="1033">
        <f t="shared" si="7"/>
        <v>417</v>
      </c>
      <c r="J78" s="1142">
        <f t="shared" si="8"/>
        <v>446.19000000000005</v>
      </c>
    </row>
    <row r="79" spans="2:10">
      <c r="B79" s="1154">
        <f t="shared" si="9"/>
        <v>75</v>
      </c>
      <c r="C79" s="1259" t="s">
        <v>1087</v>
      </c>
      <c r="D79" s="1254" t="s">
        <v>989</v>
      </c>
      <c r="E79" s="1255" t="s">
        <v>990</v>
      </c>
      <c r="F79" s="1256">
        <v>29</v>
      </c>
      <c r="G79" s="1257">
        <v>82.72</v>
      </c>
      <c r="H79" s="1258">
        <f t="shared" si="10"/>
        <v>88.510400000000004</v>
      </c>
      <c r="I79" s="1033">
        <f t="shared" si="7"/>
        <v>2398.88</v>
      </c>
      <c r="J79" s="1142">
        <f t="shared" si="8"/>
        <v>2566.8016000000002</v>
      </c>
    </row>
    <row r="80" spans="2:10">
      <c r="B80" s="1154">
        <f t="shared" si="9"/>
        <v>76</v>
      </c>
      <c r="C80" s="1253" t="s">
        <v>1088</v>
      </c>
      <c r="D80" s="1254" t="s">
        <v>1055</v>
      </c>
      <c r="E80" s="1255" t="s">
        <v>990</v>
      </c>
      <c r="F80" s="1256">
        <v>10</v>
      </c>
      <c r="G80" s="1257">
        <v>60.4</v>
      </c>
      <c r="H80" s="1258">
        <f t="shared" si="10"/>
        <v>64.628</v>
      </c>
      <c r="I80" s="1033">
        <f t="shared" si="7"/>
        <v>604</v>
      </c>
      <c r="J80" s="1142">
        <f t="shared" si="8"/>
        <v>646.28</v>
      </c>
    </row>
    <row r="81" spans="2:10">
      <c r="B81" s="1154">
        <f t="shared" si="9"/>
        <v>77</v>
      </c>
      <c r="C81" s="1259" t="s">
        <v>1089</v>
      </c>
      <c r="D81" s="1254" t="s">
        <v>1006</v>
      </c>
      <c r="E81" s="1255" t="s">
        <v>990</v>
      </c>
      <c r="F81" s="1256">
        <v>30</v>
      </c>
      <c r="G81" s="1257">
        <v>131.9</v>
      </c>
      <c r="H81" s="1258">
        <f t="shared" si="10"/>
        <v>141.13300000000001</v>
      </c>
      <c r="I81" s="1033">
        <f t="shared" si="7"/>
        <v>3957</v>
      </c>
      <c r="J81" s="1142">
        <f t="shared" si="8"/>
        <v>4233.9900000000007</v>
      </c>
    </row>
    <row r="82" spans="2:10">
      <c r="B82" s="1154">
        <f t="shared" si="9"/>
        <v>78</v>
      </c>
      <c r="C82" s="1259" t="s">
        <v>1090</v>
      </c>
      <c r="D82" s="1254" t="s">
        <v>989</v>
      </c>
      <c r="E82" s="1255" t="s">
        <v>990</v>
      </c>
      <c r="F82" s="1256">
        <v>12</v>
      </c>
      <c r="G82" s="1257">
        <v>81.849999999999994</v>
      </c>
      <c r="H82" s="1258">
        <f t="shared" si="10"/>
        <v>87.579499999999996</v>
      </c>
      <c r="I82" s="1033">
        <f t="shared" si="7"/>
        <v>982.19999999999993</v>
      </c>
      <c r="J82" s="1142">
        <f t="shared" si="8"/>
        <v>1050.954</v>
      </c>
    </row>
    <row r="83" spans="2:10">
      <c r="B83" s="1154">
        <f t="shared" si="9"/>
        <v>79</v>
      </c>
      <c r="C83" s="1253" t="s">
        <v>1091</v>
      </c>
      <c r="D83" s="1254" t="s">
        <v>989</v>
      </c>
      <c r="E83" s="1255" t="s">
        <v>990</v>
      </c>
      <c r="F83" s="1256">
        <v>100</v>
      </c>
      <c r="G83" s="1257">
        <v>22.54</v>
      </c>
      <c r="H83" s="1258">
        <f>G83*1</f>
        <v>22.54</v>
      </c>
      <c r="I83" s="1033">
        <f t="shared" si="7"/>
        <v>2254</v>
      </c>
      <c r="J83" s="1142">
        <f t="shared" si="8"/>
        <v>2254</v>
      </c>
    </row>
    <row r="84" spans="2:10">
      <c r="B84" s="1154">
        <f t="shared" si="9"/>
        <v>80</v>
      </c>
      <c r="C84" s="1253" t="s">
        <v>1092</v>
      </c>
      <c r="D84" s="1254" t="s">
        <v>1065</v>
      </c>
      <c r="E84" s="1255" t="s">
        <v>990</v>
      </c>
      <c r="F84" s="1256">
        <v>20</v>
      </c>
      <c r="G84" s="1257">
        <v>513.27</v>
      </c>
      <c r="H84" s="1258">
        <f>G84*1.07</f>
        <v>549.19889999999998</v>
      </c>
      <c r="I84" s="1033">
        <f t="shared" si="7"/>
        <v>10265.4</v>
      </c>
      <c r="J84" s="1142">
        <f t="shared" si="8"/>
        <v>10983.977999999999</v>
      </c>
    </row>
    <row r="85" spans="2:10">
      <c r="B85" s="1154">
        <f t="shared" si="9"/>
        <v>81</v>
      </c>
      <c r="C85" s="1259" t="s">
        <v>1093</v>
      </c>
      <c r="D85" s="1254" t="s">
        <v>1065</v>
      </c>
      <c r="E85" s="1255" t="s">
        <v>1015</v>
      </c>
      <c r="F85" s="1256">
        <v>200</v>
      </c>
      <c r="G85" s="1257">
        <v>63.36</v>
      </c>
      <c r="H85" s="1258">
        <f>G85*1</f>
        <v>63.36</v>
      </c>
      <c r="I85" s="1033">
        <f t="shared" si="7"/>
        <v>12672</v>
      </c>
      <c r="J85" s="1142">
        <f t="shared" si="8"/>
        <v>12672</v>
      </c>
    </row>
    <row r="86" spans="2:10">
      <c r="B86" s="1154">
        <f t="shared" si="9"/>
        <v>82</v>
      </c>
      <c r="C86" s="1253" t="s">
        <v>1094</v>
      </c>
      <c r="D86" s="1254" t="s">
        <v>1055</v>
      </c>
      <c r="E86" s="1255" t="s">
        <v>990</v>
      </c>
      <c r="F86" s="1256">
        <v>100</v>
      </c>
      <c r="G86" s="1257">
        <v>292.12</v>
      </c>
      <c r="H86" s="1258">
        <f>G86*1</f>
        <v>292.12</v>
      </c>
      <c r="I86" s="1033">
        <f t="shared" si="7"/>
        <v>29212</v>
      </c>
      <c r="J86" s="1142">
        <f t="shared" si="8"/>
        <v>29212</v>
      </c>
    </row>
    <row r="87" spans="2:10">
      <c r="B87" s="1154">
        <f t="shared" si="9"/>
        <v>83</v>
      </c>
      <c r="C87" s="1253" t="s">
        <v>1095</v>
      </c>
      <c r="D87" s="1254" t="s">
        <v>989</v>
      </c>
      <c r="E87" s="1255" t="s">
        <v>990</v>
      </c>
      <c r="F87" s="1256">
        <v>20</v>
      </c>
      <c r="G87" s="1257">
        <v>62.5</v>
      </c>
      <c r="H87" s="1258">
        <f>G87*1</f>
        <v>62.5</v>
      </c>
      <c r="I87" s="1033">
        <f t="shared" si="7"/>
        <v>1250</v>
      </c>
      <c r="J87" s="1142">
        <f t="shared" si="8"/>
        <v>1250</v>
      </c>
    </row>
    <row r="88" spans="2:10">
      <c r="B88" s="1154">
        <f t="shared" si="9"/>
        <v>84</v>
      </c>
      <c r="C88" s="1253" t="s">
        <v>1096</v>
      </c>
      <c r="D88" s="1254" t="s">
        <v>989</v>
      </c>
      <c r="E88" s="1255" t="s">
        <v>990</v>
      </c>
      <c r="F88" s="1256">
        <v>40</v>
      </c>
      <c r="G88" s="1257">
        <v>89</v>
      </c>
      <c r="H88" s="1258">
        <f t="shared" ref="H88:H98" si="11">G88*1.07</f>
        <v>95.23</v>
      </c>
      <c r="I88" s="1033">
        <f t="shared" si="7"/>
        <v>3560</v>
      </c>
      <c r="J88" s="1142">
        <f t="shared" si="8"/>
        <v>3809.2000000000003</v>
      </c>
    </row>
    <row r="89" spans="2:10">
      <c r="B89" s="1154">
        <f t="shared" si="9"/>
        <v>85</v>
      </c>
      <c r="C89" s="1253" t="s">
        <v>1097</v>
      </c>
      <c r="D89" s="1254" t="s">
        <v>1098</v>
      </c>
      <c r="E89" s="1255" t="s">
        <v>990</v>
      </c>
      <c r="F89" s="1256">
        <v>30</v>
      </c>
      <c r="G89" s="1257">
        <v>69.989999999999995</v>
      </c>
      <c r="H89" s="1258">
        <f t="shared" si="11"/>
        <v>74.889300000000006</v>
      </c>
      <c r="I89" s="1033">
        <f t="shared" si="7"/>
        <v>2099.6999999999998</v>
      </c>
      <c r="J89" s="1142">
        <f t="shared" si="8"/>
        <v>2246.6790000000001</v>
      </c>
    </row>
    <row r="90" spans="2:10">
      <c r="B90" s="1154">
        <f t="shared" si="9"/>
        <v>86</v>
      </c>
      <c r="C90" s="1253" t="s">
        <v>1099</v>
      </c>
      <c r="D90" s="1254" t="s">
        <v>1065</v>
      </c>
      <c r="E90" s="1255" t="s">
        <v>990</v>
      </c>
      <c r="F90" s="1256">
        <v>3</v>
      </c>
      <c r="G90" s="1257">
        <v>112.87</v>
      </c>
      <c r="H90" s="1258">
        <f t="shared" si="11"/>
        <v>120.77090000000001</v>
      </c>
      <c r="I90" s="1033">
        <f t="shared" si="7"/>
        <v>338.61</v>
      </c>
      <c r="J90" s="1142">
        <f t="shared" si="8"/>
        <v>362.31270000000006</v>
      </c>
    </row>
    <row r="91" spans="2:10">
      <c r="B91" s="1154">
        <f t="shared" si="9"/>
        <v>87</v>
      </c>
      <c r="C91" s="1253" t="s">
        <v>1100</v>
      </c>
      <c r="D91" s="1254" t="s">
        <v>989</v>
      </c>
      <c r="E91" s="1255" t="s">
        <v>990</v>
      </c>
      <c r="F91" s="1256">
        <v>2</v>
      </c>
      <c r="G91" s="1257">
        <v>9.36</v>
      </c>
      <c r="H91" s="1258">
        <f t="shared" si="11"/>
        <v>10.0152</v>
      </c>
      <c r="I91" s="1033">
        <f t="shared" si="7"/>
        <v>18.72</v>
      </c>
      <c r="J91" s="1142">
        <f t="shared" si="8"/>
        <v>20.0304</v>
      </c>
    </row>
    <row r="92" spans="2:10">
      <c r="B92" s="1154">
        <f t="shared" si="9"/>
        <v>88</v>
      </c>
      <c r="C92" s="1253" t="s">
        <v>1101</v>
      </c>
      <c r="D92" s="1254" t="s">
        <v>1102</v>
      </c>
      <c r="E92" s="1255" t="s">
        <v>990</v>
      </c>
      <c r="F92" s="1256">
        <v>10</v>
      </c>
      <c r="G92" s="1257">
        <v>110</v>
      </c>
      <c r="H92" s="1258">
        <f t="shared" si="11"/>
        <v>117.7</v>
      </c>
      <c r="I92" s="1033">
        <f t="shared" si="7"/>
        <v>1100</v>
      </c>
      <c r="J92" s="1142">
        <f t="shared" si="8"/>
        <v>1177</v>
      </c>
    </row>
    <row r="93" spans="2:10">
      <c r="B93" s="1154">
        <f t="shared" si="9"/>
        <v>89</v>
      </c>
      <c r="C93" s="1253" t="s">
        <v>1103</v>
      </c>
      <c r="D93" s="1254" t="s">
        <v>1104</v>
      </c>
      <c r="E93" s="1255" t="s">
        <v>1015</v>
      </c>
      <c r="F93" s="1256">
        <v>50</v>
      </c>
      <c r="G93" s="1257">
        <v>70.05</v>
      </c>
      <c r="H93" s="1258">
        <f t="shared" si="11"/>
        <v>74.953500000000005</v>
      </c>
      <c r="I93" s="1033">
        <f t="shared" si="7"/>
        <v>3502.5</v>
      </c>
      <c r="J93" s="1142">
        <f t="shared" si="8"/>
        <v>3747.6750000000002</v>
      </c>
    </row>
    <row r="94" spans="2:10">
      <c r="B94" s="1154">
        <f t="shared" si="9"/>
        <v>90</v>
      </c>
      <c r="C94" s="1253" t="s">
        <v>1105</v>
      </c>
      <c r="D94" s="1254" t="s">
        <v>1104</v>
      </c>
      <c r="E94" s="1255" t="s">
        <v>990</v>
      </c>
      <c r="F94" s="1256">
        <v>100</v>
      </c>
      <c r="G94" s="1257">
        <v>254.61</v>
      </c>
      <c r="H94" s="1258">
        <f t="shared" si="11"/>
        <v>272.43270000000001</v>
      </c>
      <c r="I94" s="1033">
        <f t="shared" si="7"/>
        <v>25461</v>
      </c>
      <c r="J94" s="1142">
        <f t="shared" si="8"/>
        <v>27243.27</v>
      </c>
    </row>
    <row r="95" spans="2:10">
      <c r="B95" s="1154">
        <f t="shared" si="9"/>
        <v>91</v>
      </c>
      <c r="C95" s="1253" t="s">
        <v>1106</v>
      </c>
      <c r="D95" s="1254" t="s">
        <v>1061</v>
      </c>
      <c r="E95" s="1255" t="s">
        <v>1015</v>
      </c>
      <c r="F95" s="1256">
        <v>50</v>
      </c>
      <c r="G95" s="1257">
        <v>60.4</v>
      </c>
      <c r="H95" s="1258">
        <f t="shared" si="11"/>
        <v>64.628</v>
      </c>
      <c r="I95" s="1033">
        <f t="shared" si="7"/>
        <v>3020</v>
      </c>
      <c r="J95" s="1142">
        <f t="shared" si="8"/>
        <v>3231.4</v>
      </c>
    </row>
    <row r="96" spans="2:10">
      <c r="B96" s="1154">
        <f t="shared" si="9"/>
        <v>92</v>
      </c>
      <c r="C96" s="1253" t="s">
        <v>1011</v>
      </c>
      <c r="D96" s="1254" t="s">
        <v>989</v>
      </c>
      <c r="E96" s="1255" t="s">
        <v>990</v>
      </c>
      <c r="F96" s="1256">
        <v>100</v>
      </c>
      <c r="G96" s="1257">
        <v>33.229999999999997</v>
      </c>
      <c r="H96" s="1258">
        <f t="shared" si="11"/>
        <v>35.556100000000001</v>
      </c>
      <c r="I96" s="1033">
        <f t="shared" si="7"/>
        <v>3322.9999999999995</v>
      </c>
      <c r="J96" s="1142">
        <f t="shared" si="8"/>
        <v>3555.61</v>
      </c>
    </row>
    <row r="97" spans="2:10">
      <c r="B97" s="1154">
        <f t="shared" si="9"/>
        <v>93</v>
      </c>
      <c r="C97" s="1253" t="s">
        <v>1107</v>
      </c>
      <c r="D97" s="1254" t="s">
        <v>1104</v>
      </c>
      <c r="E97" s="1255" t="s">
        <v>990</v>
      </c>
      <c r="F97" s="1256">
        <v>50</v>
      </c>
      <c r="G97" s="1257">
        <v>23.06</v>
      </c>
      <c r="H97" s="1258">
        <f t="shared" si="11"/>
        <v>24.674199999999999</v>
      </c>
      <c r="I97" s="1033">
        <f t="shared" si="7"/>
        <v>1153</v>
      </c>
      <c r="J97" s="1142">
        <f t="shared" si="8"/>
        <v>1233.71</v>
      </c>
    </row>
    <row r="98" spans="2:10">
      <c r="B98" s="1154">
        <f t="shared" si="9"/>
        <v>94</v>
      </c>
      <c r="C98" s="1253" t="s">
        <v>1108</v>
      </c>
      <c r="D98" s="1254" t="s">
        <v>989</v>
      </c>
      <c r="E98" s="1255" t="s">
        <v>990</v>
      </c>
      <c r="F98" s="1256">
        <v>20</v>
      </c>
      <c r="G98" s="1257">
        <v>36.97</v>
      </c>
      <c r="H98" s="1258">
        <f t="shared" si="11"/>
        <v>39.557900000000004</v>
      </c>
      <c r="I98" s="1033">
        <f t="shared" si="7"/>
        <v>739.4</v>
      </c>
      <c r="J98" s="1142">
        <f t="shared" si="8"/>
        <v>791.15800000000013</v>
      </c>
    </row>
    <row r="99" spans="2:10">
      <c r="B99" s="1154">
        <f t="shared" si="9"/>
        <v>95</v>
      </c>
      <c r="C99" s="1253" t="s">
        <v>1109</v>
      </c>
      <c r="D99" s="1254" t="s">
        <v>989</v>
      </c>
      <c r="E99" s="1255" t="s">
        <v>990</v>
      </c>
      <c r="F99" s="1256">
        <v>20</v>
      </c>
      <c r="G99" s="1257">
        <v>35.1</v>
      </c>
      <c r="H99" s="1258">
        <f>G99*1</f>
        <v>35.1</v>
      </c>
      <c r="I99" s="1033">
        <f t="shared" ref="I99:I130" si="12">G99*F99</f>
        <v>702</v>
      </c>
      <c r="J99" s="1142">
        <f t="shared" ref="J99:J130" si="13">H99*F99</f>
        <v>702</v>
      </c>
    </row>
    <row r="100" spans="2:10">
      <c r="B100" s="1154">
        <f t="shared" si="9"/>
        <v>96</v>
      </c>
      <c r="C100" s="1253" t="s">
        <v>1110</v>
      </c>
      <c r="D100" s="1254" t="s">
        <v>989</v>
      </c>
      <c r="E100" s="1255" t="s">
        <v>990</v>
      </c>
      <c r="F100" s="1256">
        <v>14</v>
      </c>
      <c r="G100" s="1257">
        <v>69.75</v>
      </c>
      <c r="H100" s="1258">
        <f>G100*1.07</f>
        <v>74.632500000000007</v>
      </c>
      <c r="I100" s="1033">
        <f t="shared" si="12"/>
        <v>976.5</v>
      </c>
      <c r="J100" s="1142">
        <f t="shared" si="13"/>
        <v>1044.855</v>
      </c>
    </row>
    <row r="101" spans="2:10">
      <c r="B101" s="1154">
        <f t="shared" si="9"/>
        <v>97</v>
      </c>
      <c r="C101" s="1253" t="s">
        <v>1111</v>
      </c>
      <c r="D101" s="1254" t="s">
        <v>989</v>
      </c>
      <c r="E101" s="1255" t="s">
        <v>990</v>
      </c>
      <c r="F101" s="1256">
        <v>9</v>
      </c>
      <c r="G101" s="1257">
        <v>40.049999999999997</v>
      </c>
      <c r="H101" s="1258">
        <f>G101*1</f>
        <v>40.049999999999997</v>
      </c>
      <c r="I101" s="1033">
        <f t="shared" si="12"/>
        <v>360.45</v>
      </c>
      <c r="J101" s="1142">
        <f t="shared" si="13"/>
        <v>360.45</v>
      </c>
    </row>
    <row r="102" spans="2:10">
      <c r="B102" s="1154">
        <f t="shared" si="9"/>
        <v>98</v>
      </c>
      <c r="C102" s="1253" t="s">
        <v>1112</v>
      </c>
      <c r="D102" s="1254" t="s">
        <v>1113</v>
      </c>
      <c r="E102" s="1255" t="s">
        <v>990</v>
      </c>
      <c r="F102" s="1256">
        <v>20</v>
      </c>
      <c r="G102" s="1257">
        <v>137.4</v>
      </c>
      <c r="H102" s="1258">
        <f>G102*1.07</f>
        <v>147.018</v>
      </c>
      <c r="I102" s="1033">
        <f t="shared" si="12"/>
        <v>2748</v>
      </c>
      <c r="J102" s="1142">
        <f t="shared" si="13"/>
        <v>2940.36</v>
      </c>
    </row>
    <row r="103" spans="2:10">
      <c r="B103" s="1154">
        <f t="shared" si="9"/>
        <v>99</v>
      </c>
      <c r="C103" s="1253" t="s">
        <v>1114</v>
      </c>
      <c r="D103" s="1254" t="s">
        <v>1065</v>
      </c>
      <c r="E103" s="1255" t="s">
        <v>990</v>
      </c>
      <c r="F103" s="1256">
        <v>40</v>
      </c>
      <c r="G103" s="1257">
        <v>104.33</v>
      </c>
      <c r="H103" s="1258">
        <f>G103*1</f>
        <v>104.33</v>
      </c>
      <c r="I103" s="1033">
        <f t="shared" si="12"/>
        <v>4173.2</v>
      </c>
      <c r="J103" s="1142">
        <f t="shared" si="13"/>
        <v>4173.2</v>
      </c>
    </row>
    <row r="104" spans="2:10">
      <c r="B104" s="1154">
        <f t="shared" si="9"/>
        <v>100</v>
      </c>
      <c r="C104" s="1259" t="s">
        <v>1115</v>
      </c>
      <c r="D104" s="1254" t="s">
        <v>1065</v>
      </c>
      <c r="E104" s="1255" t="s">
        <v>990</v>
      </c>
      <c r="F104" s="1256">
        <v>10</v>
      </c>
      <c r="G104" s="1257">
        <v>58.5</v>
      </c>
      <c r="H104" s="1258">
        <f>G104*1</f>
        <v>58.5</v>
      </c>
      <c r="I104" s="1033">
        <f t="shared" si="12"/>
        <v>585</v>
      </c>
      <c r="J104" s="1142">
        <f t="shared" si="13"/>
        <v>585</v>
      </c>
    </row>
    <row r="105" spans="2:10">
      <c r="B105" s="1154">
        <f t="shared" si="9"/>
        <v>101</v>
      </c>
      <c r="C105" s="1253" t="s">
        <v>1116</v>
      </c>
      <c r="D105" s="1254" t="s">
        <v>989</v>
      </c>
      <c r="E105" s="1255" t="s">
        <v>990</v>
      </c>
      <c r="F105" s="1256">
        <v>20</v>
      </c>
      <c r="G105" s="1257">
        <v>9.58</v>
      </c>
      <c r="H105" s="1258">
        <f t="shared" ref="H105:H110" si="14">G105*1.07</f>
        <v>10.2506</v>
      </c>
      <c r="I105" s="1033">
        <f t="shared" si="12"/>
        <v>191.6</v>
      </c>
      <c r="J105" s="1142">
        <f t="shared" si="13"/>
        <v>205.012</v>
      </c>
    </row>
    <row r="106" spans="2:10">
      <c r="B106" s="1154">
        <f t="shared" si="9"/>
        <v>102</v>
      </c>
      <c r="C106" s="1253" t="s">
        <v>1117</v>
      </c>
      <c r="D106" s="1254" t="s">
        <v>989</v>
      </c>
      <c r="E106" s="1255" t="s">
        <v>990</v>
      </c>
      <c r="F106" s="1256">
        <v>5</v>
      </c>
      <c r="G106" s="1257">
        <v>61.72</v>
      </c>
      <c r="H106" s="1258">
        <f t="shared" si="14"/>
        <v>66.040400000000005</v>
      </c>
      <c r="I106" s="1033">
        <f t="shared" si="12"/>
        <v>308.60000000000002</v>
      </c>
      <c r="J106" s="1142">
        <f t="shared" si="13"/>
        <v>330.202</v>
      </c>
    </row>
    <row r="107" spans="2:10">
      <c r="B107" s="1154">
        <f t="shared" si="9"/>
        <v>103</v>
      </c>
      <c r="C107" s="1253" t="s">
        <v>1118</v>
      </c>
      <c r="D107" s="1254" t="s">
        <v>989</v>
      </c>
      <c r="E107" s="1255" t="s">
        <v>990</v>
      </c>
      <c r="F107" s="1256">
        <v>20</v>
      </c>
      <c r="G107" s="1257">
        <v>51.93</v>
      </c>
      <c r="H107" s="1258">
        <f t="shared" si="14"/>
        <v>55.565100000000001</v>
      </c>
      <c r="I107" s="1033">
        <f t="shared" si="12"/>
        <v>1038.5999999999999</v>
      </c>
      <c r="J107" s="1142">
        <f t="shared" si="13"/>
        <v>1111.3020000000001</v>
      </c>
    </row>
    <row r="108" spans="2:10">
      <c r="B108" s="1154">
        <f t="shared" si="9"/>
        <v>104</v>
      </c>
      <c r="C108" s="1253" t="s">
        <v>1119</v>
      </c>
      <c r="D108" s="1254" t="s">
        <v>1004</v>
      </c>
      <c r="E108" s="1255" t="s">
        <v>990</v>
      </c>
      <c r="F108" s="1256">
        <v>20</v>
      </c>
      <c r="G108" s="1257">
        <v>236.4</v>
      </c>
      <c r="H108" s="1258">
        <f t="shared" si="14"/>
        <v>252.94800000000001</v>
      </c>
      <c r="I108" s="1033">
        <f t="shared" si="12"/>
        <v>4728</v>
      </c>
      <c r="J108" s="1142">
        <f t="shared" si="13"/>
        <v>5058.96</v>
      </c>
    </row>
    <row r="109" spans="2:10">
      <c r="B109" s="1154">
        <f t="shared" si="9"/>
        <v>105</v>
      </c>
      <c r="C109" s="1253" t="s">
        <v>1120</v>
      </c>
      <c r="D109" s="1254" t="s">
        <v>989</v>
      </c>
      <c r="E109" s="1255" t="s">
        <v>990</v>
      </c>
      <c r="F109" s="1256">
        <v>20</v>
      </c>
      <c r="G109" s="1257">
        <v>47.42</v>
      </c>
      <c r="H109" s="1258">
        <f t="shared" si="14"/>
        <v>50.739400000000003</v>
      </c>
      <c r="I109" s="1033">
        <f t="shared" si="12"/>
        <v>948.40000000000009</v>
      </c>
      <c r="J109" s="1142">
        <f t="shared" si="13"/>
        <v>1014.788</v>
      </c>
    </row>
    <row r="110" spans="2:10">
      <c r="B110" s="1154">
        <f t="shared" si="9"/>
        <v>106</v>
      </c>
      <c r="C110" s="1253" t="s">
        <v>1121</v>
      </c>
      <c r="D110" s="1254" t="s">
        <v>989</v>
      </c>
      <c r="E110" s="1255" t="s">
        <v>990</v>
      </c>
      <c r="F110" s="1256">
        <v>5</v>
      </c>
      <c r="G110" s="1257">
        <v>97.47</v>
      </c>
      <c r="H110" s="1258">
        <f t="shared" si="14"/>
        <v>104.2929</v>
      </c>
      <c r="I110" s="1033">
        <f t="shared" si="12"/>
        <v>487.35</v>
      </c>
      <c r="J110" s="1142">
        <f t="shared" si="13"/>
        <v>521.46450000000004</v>
      </c>
    </row>
    <row r="111" spans="2:10">
      <c r="B111" s="1154">
        <f t="shared" si="9"/>
        <v>107</v>
      </c>
      <c r="C111" s="1253" t="s">
        <v>1122</v>
      </c>
      <c r="D111" s="1254" t="s">
        <v>1006</v>
      </c>
      <c r="E111" s="1255" t="s">
        <v>990</v>
      </c>
      <c r="F111" s="1256">
        <v>50</v>
      </c>
      <c r="G111" s="1257">
        <v>812.84</v>
      </c>
      <c r="H111" s="1258">
        <f>G111*1</f>
        <v>812.84</v>
      </c>
      <c r="I111" s="1033">
        <f t="shared" si="12"/>
        <v>40642</v>
      </c>
      <c r="J111" s="1142">
        <f t="shared" si="13"/>
        <v>40642</v>
      </c>
    </row>
    <row r="112" spans="2:10">
      <c r="B112" s="1154">
        <f t="shared" si="9"/>
        <v>108</v>
      </c>
      <c r="C112" s="1253" t="s">
        <v>1123</v>
      </c>
      <c r="D112" s="1254" t="s">
        <v>1124</v>
      </c>
      <c r="E112" s="1255" t="s">
        <v>990</v>
      </c>
      <c r="F112" s="1256">
        <v>10</v>
      </c>
      <c r="G112" s="1257">
        <v>46.75</v>
      </c>
      <c r="H112" s="1258">
        <f>G112*1.07</f>
        <v>50.022500000000001</v>
      </c>
      <c r="I112" s="1033">
        <f t="shared" si="12"/>
        <v>467.5</v>
      </c>
      <c r="J112" s="1142">
        <f t="shared" si="13"/>
        <v>500.22500000000002</v>
      </c>
    </row>
    <row r="113" spans="2:10">
      <c r="B113" s="1154">
        <f t="shared" si="9"/>
        <v>109</v>
      </c>
      <c r="C113" s="1259" t="s">
        <v>1125</v>
      </c>
      <c r="D113" s="1254" t="s">
        <v>1035</v>
      </c>
      <c r="E113" s="1255" t="s">
        <v>990</v>
      </c>
      <c r="F113" s="1256">
        <v>20</v>
      </c>
      <c r="G113" s="1257">
        <v>164.9</v>
      </c>
      <c r="H113" s="1258">
        <f>G113*1</f>
        <v>164.9</v>
      </c>
      <c r="I113" s="1033">
        <f t="shared" si="12"/>
        <v>3298</v>
      </c>
      <c r="J113" s="1142">
        <f t="shared" si="13"/>
        <v>3298</v>
      </c>
    </row>
    <row r="114" spans="2:10">
      <c r="B114" s="1154">
        <f t="shared" si="9"/>
        <v>110</v>
      </c>
      <c r="C114" s="1259" t="s">
        <v>1126</v>
      </c>
      <c r="D114" s="1254" t="s">
        <v>1006</v>
      </c>
      <c r="E114" s="1255" t="s">
        <v>990</v>
      </c>
      <c r="F114" s="1256">
        <v>40</v>
      </c>
      <c r="G114" s="1257">
        <v>196.21</v>
      </c>
      <c r="H114" s="1258">
        <f>G114*1</f>
        <v>196.21</v>
      </c>
      <c r="I114" s="1033">
        <f t="shared" si="12"/>
        <v>7848.4000000000005</v>
      </c>
      <c r="J114" s="1142">
        <f t="shared" si="13"/>
        <v>7848.4000000000005</v>
      </c>
    </row>
    <row r="115" spans="2:10">
      <c r="B115" s="1154">
        <f t="shared" si="9"/>
        <v>111</v>
      </c>
      <c r="C115" s="1253" t="s">
        <v>1127</v>
      </c>
      <c r="D115" s="1254" t="s">
        <v>989</v>
      </c>
      <c r="E115" s="1255" t="s">
        <v>990</v>
      </c>
      <c r="F115" s="1256">
        <v>5</v>
      </c>
      <c r="G115" s="1257">
        <v>40.380000000000003</v>
      </c>
      <c r="H115" s="1258">
        <f>G115*1.07</f>
        <v>43.206600000000009</v>
      </c>
      <c r="I115" s="1033">
        <f t="shared" si="12"/>
        <v>201.9</v>
      </c>
      <c r="J115" s="1142">
        <f t="shared" si="13"/>
        <v>216.03300000000004</v>
      </c>
    </row>
    <row r="116" spans="2:10">
      <c r="B116" s="1154">
        <f t="shared" si="9"/>
        <v>112</v>
      </c>
      <c r="C116" s="1253" t="s">
        <v>1128</v>
      </c>
      <c r="D116" s="1254" t="s">
        <v>1124</v>
      </c>
      <c r="E116" s="1255" t="s">
        <v>990</v>
      </c>
      <c r="F116" s="1256">
        <v>8</v>
      </c>
      <c r="G116" s="1257">
        <v>95.6</v>
      </c>
      <c r="H116" s="1258">
        <f>G116*1.07</f>
        <v>102.292</v>
      </c>
      <c r="I116" s="1033">
        <f t="shared" si="12"/>
        <v>764.8</v>
      </c>
      <c r="J116" s="1142">
        <f t="shared" si="13"/>
        <v>818.33600000000001</v>
      </c>
    </row>
    <row r="117" spans="2:10">
      <c r="B117" s="1154">
        <f t="shared" si="9"/>
        <v>113</v>
      </c>
      <c r="C117" s="1253" t="s">
        <v>1129</v>
      </c>
      <c r="D117" s="1254" t="s">
        <v>989</v>
      </c>
      <c r="E117" s="1255" t="s">
        <v>990</v>
      </c>
      <c r="F117" s="1256">
        <v>22</v>
      </c>
      <c r="G117" s="1257">
        <v>12.5</v>
      </c>
      <c r="H117" s="1258">
        <f>G117*1.07</f>
        <v>13.375</v>
      </c>
      <c r="I117" s="1033">
        <f t="shared" si="12"/>
        <v>275</v>
      </c>
      <c r="J117" s="1142">
        <f t="shared" si="13"/>
        <v>294.25</v>
      </c>
    </row>
    <row r="118" spans="2:10">
      <c r="B118" s="1154">
        <f t="shared" si="9"/>
        <v>114</v>
      </c>
      <c r="C118" s="1253" t="s">
        <v>1130</v>
      </c>
      <c r="D118" s="1254" t="s">
        <v>1006</v>
      </c>
      <c r="E118" s="1255" t="s">
        <v>990</v>
      </c>
      <c r="F118" s="1256">
        <v>4</v>
      </c>
      <c r="G118" s="1257">
        <v>626.9</v>
      </c>
      <c r="H118" s="1258">
        <f>G118*1.07</f>
        <v>670.78300000000002</v>
      </c>
      <c r="I118" s="1033">
        <f t="shared" si="12"/>
        <v>2507.6</v>
      </c>
      <c r="J118" s="1142">
        <f t="shared" si="13"/>
        <v>2683.1320000000001</v>
      </c>
    </row>
    <row r="119" spans="2:10">
      <c r="B119" s="1154">
        <f t="shared" si="9"/>
        <v>115</v>
      </c>
      <c r="C119" s="1253" t="s">
        <v>1131</v>
      </c>
      <c r="D119" s="1254" t="s">
        <v>1061</v>
      </c>
      <c r="E119" s="1255" t="s">
        <v>990</v>
      </c>
      <c r="F119" s="1256">
        <v>20</v>
      </c>
      <c r="G119" s="1257">
        <v>558</v>
      </c>
      <c r="H119" s="1258">
        <f>G119*1</f>
        <v>558</v>
      </c>
      <c r="I119" s="1033">
        <f t="shared" si="12"/>
        <v>11160</v>
      </c>
      <c r="J119" s="1142">
        <f t="shared" si="13"/>
        <v>11160</v>
      </c>
    </row>
    <row r="120" spans="2:10">
      <c r="B120" s="1154">
        <f t="shared" si="9"/>
        <v>116</v>
      </c>
      <c r="C120" s="1253" t="s">
        <v>1132</v>
      </c>
      <c r="D120" s="1254" t="s">
        <v>1061</v>
      </c>
      <c r="E120" s="1255" t="s">
        <v>990</v>
      </c>
      <c r="F120" s="1256">
        <v>10</v>
      </c>
      <c r="G120" s="1257">
        <v>382.5</v>
      </c>
      <c r="H120" s="1258">
        <f>G120*1</f>
        <v>382.5</v>
      </c>
      <c r="I120" s="1033">
        <f t="shared" si="12"/>
        <v>3825</v>
      </c>
      <c r="J120" s="1142">
        <f t="shared" si="13"/>
        <v>3825</v>
      </c>
    </row>
    <row r="121" spans="2:10">
      <c r="B121" s="1154">
        <f t="shared" si="9"/>
        <v>117</v>
      </c>
      <c r="C121" s="1253" t="s">
        <v>1133</v>
      </c>
      <c r="D121" s="1254" t="s">
        <v>1134</v>
      </c>
      <c r="E121" s="1255" t="s">
        <v>990</v>
      </c>
      <c r="F121" s="1256">
        <v>2</v>
      </c>
      <c r="G121" s="1257">
        <v>323.89</v>
      </c>
      <c r="H121" s="1258">
        <f>G121*1.07</f>
        <v>346.56229999999999</v>
      </c>
      <c r="I121" s="1033">
        <f t="shared" si="12"/>
        <v>647.78</v>
      </c>
      <c r="J121" s="1142">
        <f t="shared" si="13"/>
        <v>693.12459999999999</v>
      </c>
    </row>
    <row r="122" spans="2:10">
      <c r="B122" s="1154">
        <f t="shared" si="9"/>
        <v>118</v>
      </c>
      <c r="C122" s="1253" t="s">
        <v>1135</v>
      </c>
      <c r="D122" s="1254" t="s">
        <v>1004</v>
      </c>
      <c r="E122" s="1255" t="s">
        <v>990</v>
      </c>
      <c r="F122" s="1256">
        <v>20</v>
      </c>
      <c r="G122" s="1257">
        <v>304</v>
      </c>
      <c r="H122" s="1258">
        <f>G122*1.07</f>
        <v>325.28000000000003</v>
      </c>
      <c r="I122" s="1033">
        <f t="shared" si="12"/>
        <v>6080</v>
      </c>
      <c r="J122" s="1142">
        <f t="shared" si="13"/>
        <v>6505.6</v>
      </c>
    </row>
    <row r="123" spans="2:10">
      <c r="B123" s="1154">
        <f t="shared" si="9"/>
        <v>119</v>
      </c>
      <c r="C123" s="1259" t="s">
        <v>1136</v>
      </c>
      <c r="D123" s="1254" t="s">
        <v>1061</v>
      </c>
      <c r="E123" s="1255" t="s">
        <v>990</v>
      </c>
      <c r="F123" s="1256">
        <v>8</v>
      </c>
      <c r="G123" s="1257">
        <v>254.75</v>
      </c>
      <c r="H123" s="1258">
        <f>G123*1.07</f>
        <v>272.58250000000004</v>
      </c>
      <c r="I123" s="1033">
        <f t="shared" si="12"/>
        <v>2038</v>
      </c>
      <c r="J123" s="1142">
        <f t="shared" si="13"/>
        <v>2180.6600000000003</v>
      </c>
    </row>
    <row r="124" spans="2:10">
      <c r="B124" s="1154">
        <f t="shared" si="9"/>
        <v>120</v>
      </c>
      <c r="C124" s="1253" t="s">
        <v>1137</v>
      </c>
      <c r="D124" s="1254" t="s">
        <v>1061</v>
      </c>
      <c r="E124" s="1255" t="s">
        <v>990</v>
      </c>
      <c r="F124" s="1256">
        <v>4</v>
      </c>
      <c r="G124" s="1257">
        <v>401.4</v>
      </c>
      <c r="H124" s="1258">
        <f>G124*1.07</f>
        <v>429.49799999999999</v>
      </c>
      <c r="I124" s="1033">
        <f t="shared" si="12"/>
        <v>1605.6</v>
      </c>
      <c r="J124" s="1142">
        <f t="shared" si="13"/>
        <v>1717.992</v>
      </c>
    </row>
    <row r="125" spans="2:10">
      <c r="B125" s="1154">
        <f t="shared" si="9"/>
        <v>121</v>
      </c>
      <c r="C125" s="1253" t="s">
        <v>1003</v>
      </c>
      <c r="D125" s="1254" t="s">
        <v>1004</v>
      </c>
      <c r="E125" s="1255" t="s">
        <v>990</v>
      </c>
      <c r="F125" s="1256">
        <v>5</v>
      </c>
      <c r="G125" s="1257">
        <v>38.5</v>
      </c>
      <c r="H125" s="1258">
        <f>G125*1.07</f>
        <v>41.195</v>
      </c>
      <c r="I125" s="1033">
        <f t="shared" si="12"/>
        <v>192.5</v>
      </c>
      <c r="J125" s="1142">
        <f t="shared" si="13"/>
        <v>205.97499999999999</v>
      </c>
    </row>
    <row r="126" spans="2:10">
      <c r="B126" s="1154">
        <f t="shared" si="9"/>
        <v>122</v>
      </c>
      <c r="C126" s="1253" t="s">
        <v>1138</v>
      </c>
      <c r="D126" s="1254" t="s">
        <v>989</v>
      </c>
      <c r="E126" s="1255" t="s">
        <v>990</v>
      </c>
      <c r="F126" s="1256">
        <v>15</v>
      </c>
      <c r="G126" s="1257">
        <v>73.78</v>
      </c>
      <c r="H126" s="1258">
        <f>G126*1</f>
        <v>73.78</v>
      </c>
      <c r="I126" s="1033">
        <f t="shared" si="12"/>
        <v>1106.7</v>
      </c>
      <c r="J126" s="1142">
        <f t="shared" si="13"/>
        <v>1106.7</v>
      </c>
    </row>
    <row r="127" spans="2:10">
      <c r="B127" s="1154">
        <f t="shared" si="9"/>
        <v>123</v>
      </c>
      <c r="C127" s="1253" t="s">
        <v>1139</v>
      </c>
      <c r="D127" s="1254" t="s">
        <v>1002</v>
      </c>
      <c r="E127" s="1255" t="s">
        <v>990</v>
      </c>
      <c r="F127" s="1256">
        <v>5</v>
      </c>
      <c r="G127" s="1257">
        <v>329.44</v>
      </c>
      <c r="H127" s="1258">
        <f>G127*1</f>
        <v>329.44</v>
      </c>
      <c r="I127" s="1033">
        <f t="shared" si="12"/>
        <v>1647.2</v>
      </c>
      <c r="J127" s="1142">
        <f t="shared" si="13"/>
        <v>1647.2</v>
      </c>
    </row>
    <row r="128" spans="2:10">
      <c r="B128" s="1154">
        <f t="shared" si="9"/>
        <v>124</v>
      </c>
      <c r="C128" s="1253" t="s">
        <v>1140</v>
      </c>
      <c r="D128" s="1254" t="s">
        <v>989</v>
      </c>
      <c r="E128" s="1255" t="s">
        <v>990</v>
      </c>
      <c r="F128" s="1256">
        <v>2</v>
      </c>
      <c r="G128" s="1257">
        <v>98.27</v>
      </c>
      <c r="H128" s="1258">
        <f>G128*1.07</f>
        <v>105.1489</v>
      </c>
      <c r="I128" s="1033">
        <f t="shared" si="12"/>
        <v>196.54</v>
      </c>
      <c r="J128" s="1142">
        <f t="shared" si="13"/>
        <v>210.2978</v>
      </c>
    </row>
    <row r="129" spans="2:10">
      <c r="B129" s="1154">
        <f t="shared" si="9"/>
        <v>125</v>
      </c>
      <c r="C129" s="1253" t="s">
        <v>1141</v>
      </c>
      <c r="D129" s="1254" t="s">
        <v>1006</v>
      </c>
      <c r="E129" s="1255" t="s">
        <v>990</v>
      </c>
      <c r="F129" s="1256">
        <v>30</v>
      </c>
      <c r="G129" s="1257">
        <v>213.12</v>
      </c>
      <c r="H129" s="1258">
        <f>G129*1</f>
        <v>213.12</v>
      </c>
      <c r="I129" s="1033">
        <f t="shared" si="12"/>
        <v>6393.6</v>
      </c>
      <c r="J129" s="1142">
        <f t="shared" si="13"/>
        <v>6393.6</v>
      </c>
    </row>
    <row r="130" spans="2:10">
      <c r="B130" s="1154">
        <f t="shared" si="9"/>
        <v>126</v>
      </c>
      <c r="C130" s="1253" t="s">
        <v>1142</v>
      </c>
      <c r="D130" s="1254" t="s">
        <v>1061</v>
      </c>
      <c r="E130" s="1255" t="s">
        <v>990</v>
      </c>
      <c r="F130" s="1256">
        <v>120</v>
      </c>
      <c r="G130" s="1257">
        <v>213.12</v>
      </c>
      <c r="H130" s="1258">
        <f>G130*1</f>
        <v>213.12</v>
      </c>
      <c r="I130" s="1033">
        <f t="shared" si="12"/>
        <v>25574.400000000001</v>
      </c>
      <c r="J130" s="1142">
        <f t="shared" si="13"/>
        <v>25574.400000000001</v>
      </c>
    </row>
    <row r="131" spans="2:10">
      <c r="B131" s="1154">
        <f t="shared" si="9"/>
        <v>127</v>
      </c>
      <c r="C131" s="1253" t="s">
        <v>1143</v>
      </c>
      <c r="D131" s="1254" t="s">
        <v>1061</v>
      </c>
      <c r="E131" s="1255" t="s">
        <v>990</v>
      </c>
      <c r="F131" s="1256">
        <v>100</v>
      </c>
      <c r="G131" s="1257">
        <v>119.2</v>
      </c>
      <c r="H131" s="1258">
        <f>G131*1</f>
        <v>119.2</v>
      </c>
      <c r="I131" s="1033">
        <f t="shared" ref="I131:I138" si="15">G131*F131</f>
        <v>11920</v>
      </c>
      <c r="J131" s="1142">
        <f t="shared" ref="J131:J138" si="16">H131*F131</f>
        <v>11920</v>
      </c>
    </row>
    <row r="132" spans="2:10">
      <c r="B132" s="1154">
        <f t="shared" si="9"/>
        <v>128</v>
      </c>
      <c r="C132" s="1253" t="s">
        <v>1000</v>
      </c>
      <c r="D132" s="1254" t="s">
        <v>989</v>
      </c>
      <c r="E132" s="1255" t="s">
        <v>990</v>
      </c>
      <c r="F132" s="1256">
        <v>2</v>
      </c>
      <c r="G132" s="1257">
        <v>42.8</v>
      </c>
      <c r="H132" s="1258">
        <f>G132*1.07</f>
        <v>45.795999999999999</v>
      </c>
      <c r="I132" s="1033">
        <f t="shared" si="15"/>
        <v>85.6</v>
      </c>
      <c r="J132" s="1142">
        <f t="shared" si="16"/>
        <v>91.591999999999999</v>
      </c>
    </row>
    <row r="133" spans="2:10">
      <c r="B133" s="1154">
        <f t="shared" si="9"/>
        <v>129</v>
      </c>
      <c r="C133" s="1253" t="s">
        <v>1144</v>
      </c>
      <c r="D133" s="1254" t="s">
        <v>1055</v>
      </c>
      <c r="E133" s="1255" t="s">
        <v>1015</v>
      </c>
      <c r="F133" s="1256">
        <v>80</v>
      </c>
      <c r="G133" s="1257">
        <v>72.64</v>
      </c>
      <c r="H133" s="1258">
        <f>G133*1.07</f>
        <v>77.724800000000002</v>
      </c>
      <c r="I133" s="1033">
        <f t="shared" si="15"/>
        <v>5811.2</v>
      </c>
      <c r="J133" s="1142">
        <f t="shared" si="16"/>
        <v>6217.9840000000004</v>
      </c>
    </row>
    <row r="134" spans="2:10">
      <c r="B134" s="1154">
        <f t="shared" si="9"/>
        <v>130</v>
      </c>
      <c r="C134" s="1259" t="s">
        <v>1145</v>
      </c>
      <c r="D134" s="1254" t="s">
        <v>1146</v>
      </c>
      <c r="E134" s="1255" t="s">
        <v>990</v>
      </c>
      <c r="F134" s="1256">
        <v>60</v>
      </c>
      <c r="G134" s="1257">
        <v>107.59</v>
      </c>
      <c r="H134" s="1258">
        <f>G134*1.07</f>
        <v>115.12130000000001</v>
      </c>
      <c r="I134" s="1033">
        <f t="shared" si="15"/>
        <v>6455.4000000000005</v>
      </c>
      <c r="J134" s="1142">
        <f t="shared" si="16"/>
        <v>6907.2780000000002</v>
      </c>
    </row>
    <row r="135" spans="2:10">
      <c r="B135" s="1154">
        <f>1+B134</f>
        <v>131</v>
      </c>
      <c r="C135" s="1253" t="s">
        <v>1147</v>
      </c>
      <c r="D135" s="1254" t="s">
        <v>1006</v>
      </c>
      <c r="E135" s="1255" t="s">
        <v>1148</v>
      </c>
      <c r="F135" s="1256">
        <v>10</v>
      </c>
      <c r="G135" s="1257">
        <v>192.4</v>
      </c>
      <c r="H135" s="1258">
        <f>G135*1.07</f>
        <v>205.86800000000002</v>
      </c>
      <c r="I135" s="1033">
        <f t="shared" si="15"/>
        <v>1924</v>
      </c>
      <c r="J135" s="1142">
        <f t="shared" si="16"/>
        <v>2058.6800000000003</v>
      </c>
    </row>
    <row r="136" spans="2:10">
      <c r="B136" s="1154">
        <f>1+B135</f>
        <v>132</v>
      </c>
      <c r="C136" s="1253" t="s">
        <v>1149</v>
      </c>
      <c r="D136" s="1254" t="s">
        <v>989</v>
      </c>
      <c r="E136" s="1255" t="s">
        <v>990</v>
      </c>
      <c r="F136" s="1256">
        <v>1</v>
      </c>
      <c r="G136" s="1257">
        <v>87.5</v>
      </c>
      <c r="H136" s="1258">
        <f>G136*1</f>
        <v>87.5</v>
      </c>
      <c r="I136" s="1033">
        <f t="shared" si="15"/>
        <v>87.5</v>
      </c>
      <c r="J136" s="1142">
        <f t="shared" si="16"/>
        <v>87.5</v>
      </c>
    </row>
    <row r="137" spans="2:10">
      <c r="B137" s="1154">
        <f>1+B136</f>
        <v>133</v>
      </c>
      <c r="C137" s="1259" t="s">
        <v>1005</v>
      </c>
      <c r="D137" s="1254" t="s">
        <v>1006</v>
      </c>
      <c r="E137" s="1255" t="s">
        <v>990</v>
      </c>
      <c r="F137" s="1256">
        <v>10</v>
      </c>
      <c r="G137" s="1257">
        <v>450.9</v>
      </c>
      <c r="H137" s="1258">
        <f>G137*1.07</f>
        <v>482.46300000000002</v>
      </c>
      <c r="I137" s="1033">
        <f t="shared" si="15"/>
        <v>4509</v>
      </c>
      <c r="J137" s="1142">
        <f t="shared" si="16"/>
        <v>4824.63</v>
      </c>
    </row>
    <row r="138" spans="2:10">
      <c r="B138" s="1154">
        <f>1+B137</f>
        <v>134</v>
      </c>
      <c r="C138" s="1253" t="s">
        <v>1150</v>
      </c>
      <c r="D138" s="1254" t="s">
        <v>989</v>
      </c>
      <c r="E138" s="1255" t="s">
        <v>990</v>
      </c>
      <c r="F138" s="1256">
        <v>2</v>
      </c>
      <c r="G138" s="1257">
        <v>55.47</v>
      </c>
      <c r="H138" s="1258">
        <f>G138*1.07</f>
        <v>59.352900000000005</v>
      </c>
      <c r="I138" s="1033">
        <f t="shared" si="15"/>
        <v>110.94</v>
      </c>
      <c r="J138" s="1142">
        <f t="shared" si="16"/>
        <v>118.70580000000001</v>
      </c>
    </row>
    <row r="139" spans="2:10" s="1153" customFormat="1">
      <c r="B139" s="1154"/>
      <c r="C139" s="1259"/>
      <c r="D139" s="1265"/>
      <c r="E139" s="1255"/>
      <c r="F139" s="1256"/>
      <c r="G139" s="1257"/>
      <c r="H139" s="1258"/>
      <c r="I139" s="1033"/>
      <c r="J139" s="1142">
        <f>SUM(J5:J138)</f>
        <v>1264013.7823000001</v>
      </c>
    </row>
    <row r="140" spans="2:10" s="1153" customFormat="1">
      <c r="B140" s="1284"/>
      <c r="C140" s="1268"/>
      <c r="D140" s="1269"/>
      <c r="E140" s="1309"/>
      <c r="F140" s="1270"/>
      <c r="G140" s="1311"/>
      <c r="H140" s="1271"/>
      <c r="I140" s="1312"/>
      <c r="J140" s="1272"/>
    </row>
    <row r="141" spans="2:10" s="1233" customFormat="1" ht="19.5">
      <c r="B141" s="1284"/>
      <c r="C141" s="1268" t="s">
        <v>1643</v>
      </c>
      <c r="D141" s="1269" t="s">
        <v>159</v>
      </c>
      <c r="E141" s="1309"/>
      <c r="F141" s="1270"/>
      <c r="G141" s="1311"/>
      <c r="H141" s="1271"/>
      <c r="I141" s="1312"/>
      <c r="J141" s="1272"/>
    </row>
    <row r="142" spans="2:10" s="1153" customFormat="1">
      <c r="B142" s="1284"/>
      <c r="C142" s="1268"/>
      <c r="D142" s="1269"/>
      <c r="E142" s="1309"/>
      <c r="F142" s="1270"/>
      <c r="G142" s="1311"/>
      <c r="H142" s="1271"/>
      <c r="I142" s="1312"/>
      <c r="J142" s="1272"/>
    </row>
    <row r="143" spans="2:10" s="1153" customFormat="1">
      <c r="B143" s="1284"/>
      <c r="C143" s="1268"/>
      <c r="D143" s="1269"/>
      <c r="E143" s="1309"/>
      <c r="F143" s="1270"/>
      <c r="G143" s="1311"/>
      <c r="H143" s="1271"/>
      <c r="I143" s="1312"/>
      <c r="J143" s="1272"/>
    </row>
    <row r="144" spans="2:10" s="1153" customFormat="1">
      <c r="B144" s="1284"/>
      <c r="C144" s="1340" t="s">
        <v>234</v>
      </c>
      <c r="D144" s="1269"/>
      <c r="E144" s="1309"/>
      <c r="F144" s="1270"/>
      <c r="G144" s="1311"/>
      <c r="H144" s="1271"/>
      <c r="I144" s="1312"/>
      <c r="J144" s="1272"/>
    </row>
    <row r="146" spans="2:10" s="1152" customFormat="1" ht="31.5">
      <c r="B146" s="1313" t="s">
        <v>837</v>
      </c>
      <c r="C146" s="1251" t="s">
        <v>983</v>
      </c>
      <c r="D146" s="1251"/>
      <c r="E146" s="1274" t="s">
        <v>866</v>
      </c>
      <c r="F146" s="1251" t="s">
        <v>985</v>
      </c>
      <c r="G146" s="1251"/>
      <c r="H146" s="1251" t="s">
        <v>235</v>
      </c>
      <c r="I146" s="1295"/>
      <c r="J146" s="1252" t="s">
        <v>236</v>
      </c>
    </row>
    <row r="147" spans="2:10">
      <c r="B147" s="1255">
        <v>1</v>
      </c>
      <c r="C147" s="1246" t="s">
        <v>1151</v>
      </c>
      <c r="D147" s="1246" t="s">
        <v>1152</v>
      </c>
      <c r="E147" s="1255" t="s">
        <v>1153</v>
      </c>
      <c r="F147" s="1256">
        <v>1050</v>
      </c>
      <c r="G147" s="1257">
        <v>95</v>
      </c>
      <c r="H147" s="1266">
        <v>95</v>
      </c>
      <c r="I147" s="1154"/>
      <c r="J147" s="1277">
        <f t="shared" ref="J147:J191" si="17">H147*F147</f>
        <v>99750</v>
      </c>
    </row>
    <row r="148" spans="2:10">
      <c r="B148" s="1255">
        <v>2</v>
      </c>
      <c r="C148" s="1246" t="s">
        <v>1154</v>
      </c>
      <c r="D148" s="1159" t="s">
        <v>1155</v>
      </c>
      <c r="E148" s="1255" t="s">
        <v>1153</v>
      </c>
      <c r="F148" s="1256">
        <v>1500</v>
      </c>
      <c r="G148" s="1257">
        <v>20</v>
      </c>
      <c r="H148" s="1266">
        <v>20</v>
      </c>
      <c r="I148" s="1154"/>
      <c r="J148" s="1277">
        <f t="shared" si="17"/>
        <v>30000</v>
      </c>
    </row>
    <row r="149" spans="2:10">
      <c r="B149" s="1255">
        <v>3</v>
      </c>
      <c r="C149" s="1246" t="s">
        <v>1154</v>
      </c>
      <c r="D149" s="1246" t="s">
        <v>1156</v>
      </c>
      <c r="E149" s="1255" t="s">
        <v>1153</v>
      </c>
      <c r="F149" s="1256">
        <v>7350</v>
      </c>
      <c r="G149" s="1257">
        <v>16</v>
      </c>
      <c r="H149" s="1266">
        <v>16</v>
      </c>
      <c r="I149" s="1154"/>
      <c r="J149" s="1277">
        <f t="shared" si="17"/>
        <v>117600</v>
      </c>
    </row>
    <row r="150" spans="2:10">
      <c r="B150" s="1255">
        <v>4</v>
      </c>
      <c r="C150" s="1246" t="s">
        <v>1154</v>
      </c>
      <c r="D150" s="1246" t="s">
        <v>1157</v>
      </c>
      <c r="E150" s="1255" t="s">
        <v>1153</v>
      </c>
      <c r="F150" s="1256">
        <v>4350</v>
      </c>
      <c r="G150" s="1257">
        <v>15</v>
      </c>
      <c r="H150" s="1266">
        <v>15</v>
      </c>
      <c r="I150" s="1154"/>
      <c r="J150" s="1277">
        <f t="shared" si="17"/>
        <v>65250</v>
      </c>
    </row>
    <row r="151" spans="2:10">
      <c r="B151" s="1255">
        <v>5</v>
      </c>
      <c r="C151" s="1246" t="s">
        <v>1154</v>
      </c>
      <c r="D151" s="1246" t="s">
        <v>1158</v>
      </c>
      <c r="E151" s="1255" t="s">
        <v>1159</v>
      </c>
      <c r="F151" s="1256">
        <v>100</v>
      </c>
      <c r="G151" s="1257">
        <v>20</v>
      </c>
      <c r="H151" s="1266">
        <v>20</v>
      </c>
      <c r="I151" s="1154"/>
      <c r="J151" s="1277">
        <f t="shared" si="17"/>
        <v>2000</v>
      </c>
    </row>
    <row r="152" spans="2:10">
      <c r="B152" s="1255">
        <v>6</v>
      </c>
      <c r="C152" s="1253" t="s">
        <v>1160</v>
      </c>
      <c r="D152" s="1159" t="s">
        <v>1161</v>
      </c>
      <c r="E152" s="1255" t="s">
        <v>1153</v>
      </c>
      <c r="F152" s="1256">
        <v>650</v>
      </c>
      <c r="G152" s="1257">
        <v>100</v>
      </c>
      <c r="H152" s="1266">
        <f t="shared" ref="H152:H180" si="18">G152*1.07</f>
        <v>107</v>
      </c>
      <c r="I152" s="1154"/>
      <c r="J152" s="1277">
        <f t="shared" si="17"/>
        <v>69550</v>
      </c>
    </row>
    <row r="153" spans="2:10">
      <c r="B153" s="1255">
        <v>7</v>
      </c>
      <c r="C153" s="1246" t="s">
        <v>1162</v>
      </c>
      <c r="D153" s="1246" t="s">
        <v>1163</v>
      </c>
      <c r="E153" s="1255" t="s">
        <v>1153</v>
      </c>
      <c r="F153" s="1256">
        <v>110</v>
      </c>
      <c r="G153" s="1257">
        <v>69</v>
      </c>
      <c r="H153" s="1266">
        <f t="shared" si="18"/>
        <v>73.83</v>
      </c>
      <c r="I153" s="1154"/>
      <c r="J153" s="1277">
        <f t="shared" si="17"/>
        <v>8121.3</v>
      </c>
    </row>
    <row r="154" spans="2:10">
      <c r="B154" s="1255">
        <v>8</v>
      </c>
      <c r="C154" s="1260" t="s">
        <v>1164</v>
      </c>
      <c r="D154" s="1260" t="s">
        <v>1165</v>
      </c>
      <c r="E154" s="1255" t="s">
        <v>1153</v>
      </c>
      <c r="F154" s="1256">
        <v>500</v>
      </c>
      <c r="G154" s="1257">
        <v>100</v>
      </c>
      <c r="H154" s="1266">
        <f t="shared" si="18"/>
        <v>107</v>
      </c>
      <c r="I154" s="1154"/>
      <c r="J154" s="1277">
        <f t="shared" si="17"/>
        <v>53500</v>
      </c>
    </row>
    <row r="155" spans="2:10">
      <c r="B155" s="1255">
        <v>9</v>
      </c>
      <c r="C155" s="1246" t="s">
        <v>164</v>
      </c>
      <c r="D155" s="1246" t="s">
        <v>1166</v>
      </c>
      <c r="E155" s="1255" t="s">
        <v>1153</v>
      </c>
      <c r="F155" s="1256">
        <v>50</v>
      </c>
      <c r="G155" s="1257">
        <v>69</v>
      </c>
      <c r="H155" s="1266">
        <f t="shared" si="18"/>
        <v>73.83</v>
      </c>
      <c r="I155" s="1154"/>
      <c r="J155" s="1277">
        <f t="shared" si="17"/>
        <v>3691.5</v>
      </c>
    </row>
    <row r="156" spans="2:10">
      <c r="B156" s="1255">
        <v>10</v>
      </c>
      <c r="C156" s="1253" t="s">
        <v>1160</v>
      </c>
      <c r="D156" s="1260" t="s">
        <v>1167</v>
      </c>
      <c r="E156" s="1255" t="s">
        <v>1153</v>
      </c>
      <c r="F156" s="1256">
        <v>999</v>
      </c>
      <c r="G156" s="1257">
        <v>72</v>
      </c>
      <c r="H156" s="1266">
        <f t="shared" si="18"/>
        <v>77.040000000000006</v>
      </c>
      <c r="I156" s="1154"/>
      <c r="J156" s="1277">
        <f t="shared" si="17"/>
        <v>76962.960000000006</v>
      </c>
    </row>
    <row r="157" spans="2:10">
      <c r="B157" s="1255">
        <v>11</v>
      </c>
      <c r="C157" s="1159" t="s">
        <v>1168</v>
      </c>
      <c r="D157" s="1159" t="s">
        <v>1169</v>
      </c>
      <c r="E157" s="1255" t="s">
        <v>1153</v>
      </c>
      <c r="F157" s="1256">
        <v>670</v>
      </c>
      <c r="G157" s="1257">
        <v>115</v>
      </c>
      <c r="H157" s="1266">
        <v>115</v>
      </c>
      <c r="I157" s="1154"/>
      <c r="J157" s="1277">
        <f t="shared" si="17"/>
        <v>77050</v>
      </c>
    </row>
    <row r="158" spans="2:10">
      <c r="B158" s="1255">
        <v>12</v>
      </c>
      <c r="C158" s="1159" t="s">
        <v>1168</v>
      </c>
      <c r="D158" s="1159" t="s">
        <v>1170</v>
      </c>
      <c r="E158" s="1262" t="s">
        <v>1153</v>
      </c>
      <c r="F158" s="1263">
        <v>100</v>
      </c>
      <c r="G158" s="1264">
        <v>185</v>
      </c>
      <c r="H158" s="1266">
        <v>185</v>
      </c>
      <c r="I158" s="1154"/>
      <c r="J158" s="1277">
        <f t="shared" si="17"/>
        <v>18500</v>
      </c>
    </row>
    <row r="159" spans="2:10">
      <c r="B159" s="1255">
        <v>13</v>
      </c>
      <c r="C159" s="1246" t="s">
        <v>1171</v>
      </c>
      <c r="D159" s="1246" t="s">
        <v>1172</v>
      </c>
      <c r="E159" s="1255" t="s">
        <v>1153</v>
      </c>
      <c r="F159" s="1256">
        <v>450</v>
      </c>
      <c r="G159" s="1257">
        <v>25</v>
      </c>
      <c r="H159" s="1266">
        <v>25</v>
      </c>
      <c r="I159" s="1154"/>
      <c r="J159" s="1277">
        <f t="shared" si="17"/>
        <v>11250</v>
      </c>
    </row>
    <row r="160" spans="2:10">
      <c r="B160" s="1255">
        <v>14</v>
      </c>
      <c r="C160" s="1246" t="s">
        <v>1173</v>
      </c>
      <c r="D160" s="1159" t="s">
        <v>1174</v>
      </c>
      <c r="E160" s="1255" t="s">
        <v>1153</v>
      </c>
      <c r="F160" s="1256">
        <v>100</v>
      </c>
      <c r="G160" s="1257">
        <v>28</v>
      </c>
      <c r="H160" s="1266">
        <v>28</v>
      </c>
      <c r="I160" s="1154"/>
      <c r="J160" s="1277">
        <f t="shared" si="17"/>
        <v>2800</v>
      </c>
    </row>
    <row r="161" spans="2:10">
      <c r="B161" s="1255">
        <v>15</v>
      </c>
      <c r="C161" s="1246" t="s">
        <v>1173</v>
      </c>
      <c r="D161" s="1159" t="s">
        <v>1175</v>
      </c>
      <c r="E161" s="1255" t="s">
        <v>1153</v>
      </c>
      <c r="F161" s="1256">
        <v>550</v>
      </c>
      <c r="G161" s="1257">
        <v>19</v>
      </c>
      <c r="H161" s="1266">
        <v>19</v>
      </c>
      <c r="I161" s="1154"/>
      <c r="J161" s="1277">
        <f t="shared" si="17"/>
        <v>10450</v>
      </c>
    </row>
    <row r="162" spans="2:10">
      <c r="B162" s="1255">
        <v>16</v>
      </c>
      <c r="C162" s="1254" t="s">
        <v>1176</v>
      </c>
      <c r="D162" s="1260" t="s">
        <v>1177</v>
      </c>
      <c r="E162" s="1255" t="s">
        <v>1153</v>
      </c>
      <c r="F162" s="1256">
        <v>24</v>
      </c>
      <c r="G162" s="1257">
        <v>365</v>
      </c>
      <c r="H162" s="1266">
        <f t="shared" si="18"/>
        <v>390.55</v>
      </c>
      <c r="I162" s="1154"/>
      <c r="J162" s="1277">
        <f t="shared" si="17"/>
        <v>9373.2000000000007</v>
      </c>
    </row>
    <row r="163" spans="2:10">
      <c r="B163" s="1255">
        <v>17</v>
      </c>
      <c r="C163" s="1159" t="s">
        <v>1178</v>
      </c>
      <c r="D163" s="1159" t="s">
        <v>1179</v>
      </c>
      <c r="E163" s="1255" t="s">
        <v>1153</v>
      </c>
      <c r="F163" s="1256">
        <v>10</v>
      </c>
      <c r="G163" s="1257">
        <v>68</v>
      </c>
      <c r="H163" s="1266">
        <v>68</v>
      </c>
      <c r="I163" s="1154"/>
      <c r="J163" s="1277">
        <f t="shared" si="17"/>
        <v>680</v>
      </c>
    </row>
    <row r="164" spans="2:10">
      <c r="B164" s="1255">
        <v>18</v>
      </c>
      <c r="C164" s="1246" t="s">
        <v>1180</v>
      </c>
      <c r="D164" s="1159" t="s">
        <v>1181</v>
      </c>
      <c r="E164" s="1255" t="s">
        <v>1153</v>
      </c>
      <c r="F164" s="1256">
        <v>5</v>
      </c>
      <c r="G164" s="1257">
        <v>280</v>
      </c>
      <c r="H164" s="1266">
        <f t="shared" si="18"/>
        <v>299.60000000000002</v>
      </c>
      <c r="I164" s="1154"/>
      <c r="J164" s="1277">
        <f t="shared" si="17"/>
        <v>1498</v>
      </c>
    </row>
    <row r="165" spans="2:10">
      <c r="B165" s="1255">
        <v>19</v>
      </c>
      <c r="C165" s="1246" t="s">
        <v>1180</v>
      </c>
      <c r="D165" s="1159" t="s">
        <v>1182</v>
      </c>
      <c r="E165" s="1255" t="s">
        <v>1153</v>
      </c>
      <c r="F165" s="1256">
        <v>10</v>
      </c>
      <c r="G165" s="1257">
        <v>160</v>
      </c>
      <c r="H165" s="1266">
        <f t="shared" si="18"/>
        <v>171.20000000000002</v>
      </c>
      <c r="I165" s="1154"/>
      <c r="J165" s="1277">
        <f t="shared" si="17"/>
        <v>1712.0000000000002</v>
      </c>
    </row>
    <row r="166" spans="2:10">
      <c r="B166" s="1255">
        <v>20</v>
      </c>
      <c r="C166" s="1254" t="s">
        <v>1183</v>
      </c>
      <c r="D166" s="1278" t="s">
        <v>1184</v>
      </c>
      <c r="E166" s="1255" t="s">
        <v>1153</v>
      </c>
      <c r="F166" s="1256">
        <v>20</v>
      </c>
      <c r="G166" s="1257">
        <v>280</v>
      </c>
      <c r="H166" s="1266">
        <f t="shared" si="18"/>
        <v>299.60000000000002</v>
      </c>
      <c r="I166" s="1154"/>
      <c r="J166" s="1277">
        <f t="shared" si="17"/>
        <v>5992</v>
      </c>
    </row>
    <row r="167" spans="2:10">
      <c r="B167" s="1255">
        <v>21</v>
      </c>
      <c r="C167" s="1246" t="s">
        <v>1185</v>
      </c>
      <c r="D167" s="1246" t="s">
        <v>1186</v>
      </c>
      <c r="E167" s="1255" t="s">
        <v>1153</v>
      </c>
      <c r="F167" s="1256">
        <v>300</v>
      </c>
      <c r="G167" s="1257">
        <v>28</v>
      </c>
      <c r="H167" s="1266">
        <v>28</v>
      </c>
      <c r="I167" s="1154"/>
      <c r="J167" s="1277">
        <f t="shared" si="17"/>
        <v>8400</v>
      </c>
    </row>
    <row r="168" spans="2:10">
      <c r="B168" s="1255">
        <v>22</v>
      </c>
      <c r="C168" s="1260" t="s">
        <v>1187</v>
      </c>
      <c r="D168" s="1260" t="s">
        <v>1188</v>
      </c>
      <c r="E168" s="1255" t="s">
        <v>1153</v>
      </c>
      <c r="F168" s="1256">
        <v>20</v>
      </c>
      <c r="G168" s="1257">
        <v>33</v>
      </c>
      <c r="H168" s="1266">
        <f t="shared" si="18"/>
        <v>35.31</v>
      </c>
      <c r="I168" s="1154"/>
      <c r="J168" s="1277">
        <f t="shared" si="17"/>
        <v>706.2</v>
      </c>
    </row>
    <row r="169" spans="2:10">
      <c r="B169" s="1255">
        <v>23</v>
      </c>
      <c r="C169" s="1260" t="s">
        <v>1187</v>
      </c>
      <c r="D169" s="1260" t="s">
        <v>1189</v>
      </c>
      <c r="E169" s="1255" t="s">
        <v>1153</v>
      </c>
      <c r="F169" s="1256">
        <v>20</v>
      </c>
      <c r="G169" s="1257">
        <v>21</v>
      </c>
      <c r="H169" s="1266">
        <f t="shared" si="18"/>
        <v>22.470000000000002</v>
      </c>
      <c r="I169" s="1154"/>
      <c r="J169" s="1277">
        <f t="shared" si="17"/>
        <v>449.40000000000003</v>
      </c>
    </row>
    <row r="170" spans="2:10">
      <c r="B170" s="1255">
        <v>24</v>
      </c>
      <c r="C170" s="1253" t="s">
        <v>1160</v>
      </c>
      <c r="D170" s="1260" t="s">
        <v>1190</v>
      </c>
      <c r="E170" s="1255" t="s">
        <v>1153</v>
      </c>
      <c r="F170" s="1256">
        <v>50</v>
      </c>
      <c r="G170" s="1257">
        <v>145</v>
      </c>
      <c r="H170" s="1266">
        <f t="shared" si="18"/>
        <v>155.15</v>
      </c>
      <c r="I170" s="1154"/>
      <c r="J170" s="1277">
        <f t="shared" si="17"/>
        <v>7757.5</v>
      </c>
    </row>
    <row r="171" spans="2:10">
      <c r="B171" s="1255">
        <v>25</v>
      </c>
      <c r="C171" s="1260" t="s">
        <v>1191</v>
      </c>
      <c r="D171" s="1260" t="s">
        <v>1192</v>
      </c>
      <c r="E171" s="1255" t="s">
        <v>1153</v>
      </c>
      <c r="F171" s="1256">
        <v>1000</v>
      </c>
      <c r="G171" s="1257">
        <v>105</v>
      </c>
      <c r="H171" s="1266">
        <f t="shared" si="18"/>
        <v>112.35000000000001</v>
      </c>
      <c r="I171" s="1154"/>
      <c r="J171" s="1277">
        <f t="shared" si="17"/>
        <v>112350.00000000001</v>
      </c>
    </row>
    <row r="172" spans="2:10">
      <c r="B172" s="1255">
        <v>26</v>
      </c>
      <c r="C172" s="1159" t="s">
        <v>1193</v>
      </c>
      <c r="D172" s="1159" t="s">
        <v>1194</v>
      </c>
      <c r="E172" s="1262" t="s">
        <v>1159</v>
      </c>
      <c r="F172" s="1263">
        <v>125</v>
      </c>
      <c r="G172" s="1264">
        <v>45</v>
      </c>
      <c r="H172" s="1279">
        <f t="shared" si="18"/>
        <v>48.150000000000006</v>
      </c>
      <c r="I172" s="1154"/>
      <c r="J172" s="1280">
        <f t="shared" si="17"/>
        <v>6018.7500000000009</v>
      </c>
    </row>
    <row r="173" spans="2:10">
      <c r="B173" s="1255">
        <v>27</v>
      </c>
      <c r="C173" s="1159" t="s">
        <v>1195</v>
      </c>
      <c r="D173" s="1159" t="s">
        <v>1196</v>
      </c>
      <c r="E173" s="1262" t="s">
        <v>1159</v>
      </c>
      <c r="F173" s="1263">
        <v>50</v>
      </c>
      <c r="G173" s="1257">
        <v>117</v>
      </c>
      <c r="H173" s="1266">
        <v>117</v>
      </c>
      <c r="I173" s="1154"/>
      <c r="J173" s="1277">
        <f t="shared" si="17"/>
        <v>5850</v>
      </c>
    </row>
    <row r="174" spans="2:10">
      <c r="B174" s="1255">
        <v>28</v>
      </c>
      <c r="C174" s="1159" t="s">
        <v>1195</v>
      </c>
      <c r="D174" s="1159" t="s">
        <v>1197</v>
      </c>
      <c r="E174" s="1262" t="s">
        <v>1159</v>
      </c>
      <c r="F174" s="1263">
        <v>20</v>
      </c>
      <c r="G174" s="1257">
        <v>235</v>
      </c>
      <c r="H174" s="1266">
        <v>235</v>
      </c>
      <c r="I174" s="1154"/>
      <c r="J174" s="1277">
        <f t="shared" si="17"/>
        <v>4700</v>
      </c>
    </row>
    <row r="175" spans="2:10">
      <c r="B175" s="1255">
        <v>29</v>
      </c>
      <c r="C175" s="1159" t="s">
        <v>1198</v>
      </c>
      <c r="D175" s="1159" t="s">
        <v>1199</v>
      </c>
      <c r="E175" s="1262" t="s">
        <v>1159</v>
      </c>
      <c r="F175" s="1263">
        <v>40</v>
      </c>
      <c r="G175" s="1257">
        <v>140</v>
      </c>
      <c r="H175" s="1266">
        <v>140</v>
      </c>
      <c r="I175" s="1154"/>
      <c r="J175" s="1277">
        <f t="shared" si="17"/>
        <v>5600</v>
      </c>
    </row>
    <row r="176" spans="2:10">
      <c r="B176" s="1255">
        <v>30</v>
      </c>
      <c r="C176" s="1159" t="s">
        <v>1198</v>
      </c>
      <c r="D176" s="1159" t="s">
        <v>1200</v>
      </c>
      <c r="E176" s="1262" t="s">
        <v>1159</v>
      </c>
      <c r="F176" s="1263">
        <v>20</v>
      </c>
      <c r="G176" s="1257">
        <v>240</v>
      </c>
      <c r="H176" s="1266">
        <v>240</v>
      </c>
      <c r="I176" s="1154"/>
      <c r="J176" s="1277">
        <f t="shared" si="17"/>
        <v>4800</v>
      </c>
    </row>
    <row r="177" spans="2:10">
      <c r="B177" s="1255">
        <v>31</v>
      </c>
      <c r="C177" s="1159" t="s">
        <v>1201</v>
      </c>
      <c r="D177" s="1159" t="s">
        <v>1202</v>
      </c>
      <c r="E177" s="1262" t="s">
        <v>1159</v>
      </c>
      <c r="F177" s="1263">
        <v>45</v>
      </c>
      <c r="G177" s="1257">
        <v>25</v>
      </c>
      <c r="H177" s="1266">
        <v>25</v>
      </c>
      <c r="I177" s="1154"/>
      <c r="J177" s="1277">
        <f t="shared" si="17"/>
        <v>1125</v>
      </c>
    </row>
    <row r="178" spans="2:10">
      <c r="B178" s="1255">
        <v>32</v>
      </c>
      <c r="C178" s="1159" t="s">
        <v>1203</v>
      </c>
      <c r="D178" s="1159" t="s">
        <v>1204</v>
      </c>
      <c r="E178" s="1262" t="s">
        <v>1159</v>
      </c>
      <c r="F178" s="1263">
        <v>5</v>
      </c>
      <c r="G178" s="1257">
        <v>255</v>
      </c>
      <c r="H178" s="1266">
        <f t="shared" si="18"/>
        <v>272.85000000000002</v>
      </c>
      <c r="I178" s="1154"/>
      <c r="J178" s="1277">
        <f t="shared" si="17"/>
        <v>1364.25</v>
      </c>
    </row>
    <row r="179" spans="2:10">
      <c r="B179" s="1255">
        <v>33</v>
      </c>
      <c r="C179" s="1260" t="s">
        <v>1205</v>
      </c>
      <c r="D179" s="1260" t="s">
        <v>1206</v>
      </c>
      <c r="E179" s="1262" t="s">
        <v>1159</v>
      </c>
      <c r="F179" s="1263">
        <v>10</v>
      </c>
      <c r="G179" s="1257">
        <v>165</v>
      </c>
      <c r="H179" s="1266">
        <f t="shared" si="18"/>
        <v>176.55</v>
      </c>
      <c r="I179" s="1154"/>
      <c r="J179" s="1277">
        <f t="shared" si="17"/>
        <v>1765.5</v>
      </c>
    </row>
    <row r="180" spans="2:10">
      <c r="B180" s="1255">
        <v>34</v>
      </c>
      <c r="C180" s="1260" t="s">
        <v>1205</v>
      </c>
      <c r="D180" s="1260" t="s">
        <v>1207</v>
      </c>
      <c r="E180" s="1262" t="s">
        <v>1159</v>
      </c>
      <c r="F180" s="1263">
        <v>20</v>
      </c>
      <c r="G180" s="1257">
        <v>330</v>
      </c>
      <c r="H180" s="1266">
        <f t="shared" si="18"/>
        <v>353.1</v>
      </c>
      <c r="I180" s="1154"/>
      <c r="J180" s="1277">
        <f t="shared" si="17"/>
        <v>7062</v>
      </c>
    </row>
    <row r="181" spans="2:10" ht="31.5">
      <c r="B181" s="1255">
        <v>35</v>
      </c>
      <c r="C181" s="1260" t="s">
        <v>1208</v>
      </c>
      <c r="D181" s="1260" t="s">
        <v>1209</v>
      </c>
      <c r="E181" s="1262" t="s">
        <v>1159</v>
      </c>
      <c r="F181" s="1263">
        <v>50</v>
      </c>
      <c r="G181" s="1257">
        <v>750</v>
      </c>
      <c r="H181" s="1266">
        <v>750</v>
      </c>
      <c r="I181" s="1154"/>
      <c r="J181" s="1277">
        <f t="shared" si="17"/>
        <v>37500</v>
      </c>
    </row>
    <row r="182" spans="2:10" ht="31.5">
      <c r="B182" s="1255">
        <v>36</v>
      </c>
      <c r="C182" s="1261" t="s">
        <v>1210</v>
      </c>
      <c r="D182" s="1260" t="s">
        <v>1211</v>
      </c>
      <c r="E182" s="1262" t="s">
        <v>1212</v>
      </c>
      <c r="F182" s="1263">
        <v>3300</v>
      </c>
      <c r="G182" s="1257">
        <v>16</v>
      </c>
      <c r="H182" s="1266">
        <v>16</v>
      </c>
      <c r="I182" s="1154"/>
      <c r="J182" s="1277">
        <f t="shared" si="17"/>
        <v>52800</v>
      </c>
    </row>
    <row r="183" spans="2:10" ht="31.5">
      <c r="B183" s="1255">
        <v>37</v>
      </c>
      <c r="C183" s="1261" t="s">
        <v>1213</v>
      </c>
      <c r="D183" s="1260" t="s">
        <v>1214</v>
      </c>
      <c r="E183" s="1262" t="s">
        <v>1212</v>
      </c>
      <c r="F183" s="1263">
        <v>1050</v>
      </c>
      <c r="G183" s="1257">
        <v>96</v>
      </c>
      <c r="H183" s="1266">
        <v>96</v>
      </c>
      <c r="I183" s="1154"/>
      <c r="J183" s="1277">
        <f t="shared" si="17"/>
        <v>100800</v>
      </c>
    </row>
    <row r="184" spans="2:10" ht="31.5">
      <c r="B184" s="1255">
        <v>38</v>
      </c>
      <c r="C184" s="1126" t="s">
        <v>1215</v>
      </c>
      <c r="D184" s="1260" t="s">
        <v>1216</v>
      </c>
      <c r="E184" s="1262" t="s">
        <v>1212</v>
      </c>
      <c r="F184" s="1263">
        <v>150</v>
      </c>
      <c r="G184" s="1257">
        <v>80</v>
      </c>
      <c r="H184" s="1266">
        <v>80</v>
      </c>
      <c r="I184" s="1154"/>
      <c r="J184" s="1277">
        <f t="shared" si="17"/>
        <v>12000</v>
      </c>
    </row>
    <row r="185" spans="2:10" ht="31.5">
      <c r="B185" s="1255">
        <v>39</v>
      </c>
      <c r="C185" s="1246" t="s">
        <v>1217</v>
      </c>
      <c r="D185" s="1281" t="s">
        <v>1218</v>
      </c>
      <c r="E185" s="1262" t="s">
        <v>1212</v>
      </c>
      <c r="F185" s="1256">
        <v>100</v>
      </c>
      <c r="G185" s="1264">
        <v>95</v>
      </c>
      <c r="H185" s="1266">
        <v>95</v>
      </c>
      <c r="I185" s="1154"/>
      <c r="J185" s="1277">
        <f t="shared" si="17"/>
        <v>9500</v>
      </c>
    </row>
    <row r="186" spans="2:10" ht="31.5">
      <c r="B186" s="1255">
        <v>40</v>
      </c>
      <c r="C186" s="1023" t="s">
        <v>1219</v>
      </c>
      <c r="D186" s="1281" t="s">
        <v>1220</v>
      </c>
      <c r="E186" s="1262" t="s">
        <v>1212</v>
      </c>
      <c r="F186" s="1256">
        <v>100</v>
      </c>
      <c r="G186" s="1264">
        <v>350</v>
      </c>
      <c r="H186" s="1266">
        <v>350</v>
      </c>
      <c r="I186" s="1154"/>
      <c r="J186" s="1277">
        <f t="shared" si="17"/>
        <v>35000</v>
      </c>
    </row>
    <row r="187" spans="2:10">
      <c r="B187" s="1255">
        <v>41</v>
      </c>
      <c r="C187" s="1023" t="s">
        <v>1221</v>
      </c>
      <c r="D187" s="1253" t="s">
        <v>1222</v>
      </c>
      <c r="E187" s="1262" t="s">
        <v>1212</v>
      </c>
      <c r="F187" s="1263">
        <v>500</v>
      </c>
      <c r="G187" s="1257">
        <v>100</v>
      </c>
      <c r="H187" s="1266">
        <v>100</v>
      </c>
      <c r="I187" s="1154"/>
      <c r="J187" s="1277">
        <f t="shared" si="17"/>
        <v>50000</v>
      </c>
    </row>
    <row r="188" spans="2:10">
      <c r="B188" s="1255">
        <v>42</v>
      </c>
      <c r="C188" s="1159" t="s">
        <v>1223</v>
      </c>
      <c r="D188" s="1159" t="s">
        <v>1224</v>
      </c>
      <c r="E188" s="1262" t="s">
        <v>1153</v>
      </c>
      <c r="F188" s="1263">
        <v>500</v>
      </c>
      <c r="G188" s="1257">
        <v>22</v>
      </c>
      <c r="H188" s="1266">
        <f>G188*1.07</f>
        <v>23.540000000000003</v>
      </c>
      <c r="I188" s="1154"/>
      <c r="J188" s="1277">
        <f t="shared" si="17"/>
        <v>11770.000000000002</v>
      </c>
    </row>
    <row r="189" spans="2:10">
      <c r="B189" s="1255">
        <v>43</v>
      </c>
      <c r="C189" s="1254" t="s">
        <v>1176</v>
      </c>
      <c r="D189" s="1246" t="s">
        <v>1225</v>
      </c>
      <c r="E189" s="1262" t="s">
        <v>1226</v>
      </c>
      <c r="F189" s="1263">
        <v>100</v>
      </c>
      <c r="G189" s="1257">
        <v>250</v>
      </c>
      <c r="H189" s="1266">
        <f>G189*1.07</f>
        <v>267.5</v>
      </c>
      <c r="I189" s="1154"/>
      <c r="J189" s="1277">
        <f t="shared" si="17"/>
        <v>26750</v>
      </c>
    </row>
    <row r="190" spans="2:10">
      <c r="B190" s="1255">
        <v>44</v>
      </c>
      <c r="C190" s="1159" t="s">
        <v>1227</v>
      </c>
      <c r="D190" s="1159" t="s">
        <v>1228</v>
      </c>
      <c r="E190" s="1262" t="s">
        <v>1153</v>
      </c>
      <c r="F190" s="1263">
        <v>50</v>
      </c>
      <c r="G190" s="1257">
        <v>50</v>
      </c>
      <c r="H190" s="1266">
        <f>G190*1.07</f>
        <v>53.5</v>
      </c>
      <c r="I190" s="1154"/>
      <c r="J190" s="1277">
        <f t="shared" si="17"/>
        <v>2675</v>
      </c>
    </row>
    <row r="191" spans="2:10">
      <c r="B191" s="1255">
        <v>45</v>
      </c>
      <c r="C191" s="1023" t="s">
        <v>1229</v>
      </c>
      <c r="D191" s="1159" t="s">
        <v>1230</v>
      </c>
      <c r="E191" s="1262" t="s">
        <v>1159</v>
      </c>
      <c r="F191" s="1263">
        <v>10</v>
      </c>
      <c r="G191" s="1257">
        <v>130</v>
      </c>
      <c r="H191" s="1266">
        <f>G191*1.07</f>
        <v>139.1</v>
      </c>
      <c r="I191" s="1154"/>
      <c r="J191" s="1277">
        <f t="shared" si="17"/>
        <v>1391</v>
      </c>
    </row>
    <row r="192" spans="2:10">
      <c r="B192" s="1255">
        <v>46</v>
      </c>
      <c r="C192" s="1260" t="s">
        <v>1164</v>
      </c>
      <c r="D192" s="1260" t="s">
        <v>1231</v>
      </c>
      <c r="E192" s="1262" t="s">
        <v>1159</v>
      </c>
      <c r="F192" s="1263">
        <v>170</v>
      </c>
      <c r="G192" s="1257">
        <v>54</v>
      </c>
      <c r="H192" s="1266">
        <f>G192*1.07</f>
        <v>57.78</v>
      </c>
      <c r="I192" s="1154"/>
      <c r="J192" s="1277">
        <f>H192*F192</f>
        <v>9822.6</v>
      </c>
    </row>
    <row r="193" spans="2:10">
      <c r="B193" s="1255"/>
      <c r="C193" s="1260"/>
      <c r="D193" s="1260"/>
      <c r="E193" s="1262"/>
      <c r="F193" s="1263"/>
      <c r="G193" s="1257"/>
      <c r="H193" s="1266"/>
      <c r="I193" s="1154"/>
      <c r="J193" s="1277"/>
    </row>
    <row r="194" spans="2:10" s="1153" customFormat="1">
      <c r="B194" s="1255"/>
      <c r="C194" s="1265"/>
      <c r="D194" s="1317"/>
      <c r="E194" s="1256"/>
      <c r="F194" s="1256"/>
      <c r="G194" s="1256" t="s">
        <v>1232</v>
      </c>
      <c r="H194" s="1256"/>
      <c r="I194" s="1156"/>
      <c r="J194" s="1277">
        <f>SUM(J147:J192)</f>
        <v>1183688.1600000001</v>
      </c>
    </row>
    <row r="195" spans="2:10">
      <c r="B195" s="1282"/>
      <c r="C195" s="1296"/>
      <c r="D195" s="1283"/>
      <c r="E195" s="1282"/>
      <c r="F195" s="1039"/>
      <c r="G195" s="1310"/>
      <c r="H195" s="1270"/>
      <c r="I195" s="1284"/>
      <c r="J195" s="1285"/>
    </row>
    <row r="196" spans="2:10" s="1233" customFormat="1" ht="19.5">
      <c r="B196" s="1284"/>
      <c r="C196" s="1268" t="s">
        <v>1643</v>
      </c>
      <c r="D196" s="1269" t="s">
        <v>159</v>
      </c>
      <c r="E196" s="1309"/>
      <c r="F196" s="1270"/>
      <c r="G196" s="1311"/>
      <c r="H196" s="1271"/>
      <c r="I196" s="1312"/>
      <c r="J196" s="1272"/>
    </row>
    <row r="197" spans="2:10" s="1233" customFormat="1" ht="19.5">
      <c r="B197" s="1284"/>
      <c r="C197" s="1268"/>
      <c r="D197" s="1269"/>
      <c r="E197" s="1309"/>
      <c r="F197" s="1270"/>
      <c r="G197" s="1311"/>
      <c r="H197" s="1271"/>
      <c r="I197" s="1312"/>
      <c r="J197" s="1272"/>
    </row>
    <row r="198" spans="2:10" s="1233" customFormat="1" ht="19.5">
      <c r="B198" s="1284"/>
      <c r="C198" s="1268"/>
      <c r="D198" s="1269"/>
      <c r="E198" s="1309"/>
      <c r="F198" s="1270"/>
      <c r="G198" s="1311"/>
      <c r="H198" s="1271"/>
      <c r="I198" s="1312"/>
      <c r="J198" s="1272"/>
    </row>
    <row r="199" spans="2:10" s="1233" customFormat="1" ht="19.5">
      <c r="B199" s="1284"/>
      <c r="C199" s="1297" t="s">
        <v>233</v>
      </c>
      <c r="D199" s="1286"/>
      <c r="E199" s="1287"/>
      <c r="F199" s="1294"/>
      <c r="G199" s="1287"/>
      <c r="H199" s="1271"/>
      <c r="I199" s="1312"/>
      <c r="J199" s="1272"/>
    </row>
    <row r="200" spans="2:10" s="1233" customFormat="1" ht="19.5">
      <c r="B200" s="1284"/>
      <c r="C200" s="1298"/>
      <c r="D200" s="1286"/>
      <c r="E200" s="1287"/>
      <c r="F200" s="1294"/>
      <c r="G200" s="1287"/>
      <c r="H200" s="1271"/>
      <c r="I200" s="1312"/>
      <c r="J200" s="1272"/>
    </row>
    <row r="201" spans="2:10" s="1245" customFormat="1" ht="31.5">
      <c r="B201" s="1313" t="s">
        <v>837</v>
      </c>
      <c r="C201" s="1251" t="s">
        <v>983</v>
      </c>
      <c r="D201" s="1251"/>
      <c r="E201" s="1274" t="s">
        <v>866</v>
      </c>
      <c r="F201" s="1251" t="s">
        <v>985</v>
      </c>
      <c r="G201" s="1251" t="s">
        <v>986</v>
      </c>
      <c r="H201" s="1251" t="s">
        <v>235</v>
      </c>
      <c r="I201" s="1295" t="s">
        <v>987</v>
      </c>
      <c r="J201" s="1252" t="s">
        <v>236</v>
      </c>
    </row>
    <row r="202" spans="2:10" s="1245" customFormat="1">
      <c r="B202" s="1154"/>
      <c r="C202" s="1299"/>
      <c r="D202" s="1288"/>
      <c r="E202" s="1154"/>
      <c r="F202" s="1156"/>
      <c r="G202" s="1154"/>
      <c r="H202" s="1156"/>
      <c r="I202" s="1033"/>
      <c r="J202" s="1142"/>
    </row>
    <row r="203" spans="2:10" s="1245" customFormat="1">
      <c r="B203" s="1154">
        <v>1</v>
      </c>
      <c r="C203" s="1290" t="s">
        <v>166</v>
      </c>
      <c r="D203" s="1288"/>
      <c r="E203" s="1291" t="s">
        <v>167</v>
      </c>
      <c r="F203" s="1291">
        <v>2</v>
      </c>
      <c r="G203" s="1040">
        <v>70</v>
      </c>
      <c r="H203" s="1040">
        <f>(I203*20%)+I203</f>
        <v>84</v>
      </c>
      <c r="I203" s="1040">
        <v>70</v>
      </c>
      <c r="J203" s="1142">
        <f>F203*H203</f>
        <v>168</v>
      </c>
    </row>
    <row r="204" spans="2:10" s="1245" customFormat="1" ht="31.5">
      <c r="B204" s="1154">
        <f>1+B203</f>
        <v>2</v>
      </c>
      <c r="C204" s="1290" t="s">
        <v>168</v>
      </c>
      <c r="D204" s="1288"/>
      <c r="E204" s="1291" t="s">
        <v>169</v>
      </c>
      <c r="F204" s="1291">
        <v>4</v>
      </c>
      <c r="G204" s="1040">
        <v>250</v>
      </c>
      <c r="H204" s="1040">
        <f t="shared" ref="H204:H252" si="19">(I204*20%)+I204</f>
        <v>300</v>
      </c>
      <c r="I204" s="1040">
        <v>250</v>
      </c>
      <c r="J204" s="1142">
        <f t="shared" ref="J204:J252" si="20">F204*H204</f>
        <v>1200</v>
      </c>
    </row>
    <row r="205" spans="2:10" s="1245" customFormat="1">
      <c r="B205" s="1154">
        <f t="shared" ref="B205:B252" si="21">1+B204</f>
        <v>3</v>
      </c>
      <c r="C205" s="1290" t="s">
        <v>367</v>
      </c>
      <c r="D205" s="1288"/>
      <c r="E205" s="1291" t="s">
        <v>169</v>
      </c>
      <c r="F205" s="1291">
        <v>2</v>
      </c>
      <c r="G205" s="1040">
        <v>800</v>
      </c>
      <c r="H205" s="1040">
        <f t="shared" si="19"/>
        <v>960</v>
      </c>
      <c r="I205" s="1040">
        <v>800</v>
      </c>
      <c r="J205" s="1142">
        <f t="shared" si="20"/>
        <v>1920</v>
      </c>
    </row>
    <row r="206" spans="2:10" s="1245" customFormat="1" ht="31.5">
      <c r="B206" s="1154">
        <f t="shared" si="21"/>
        <v>4</v>
      </c>
      <c r="C206" s="1290" t="s">
        <v>170</v>
      </c>
      <c r="D206" s="1288"/>
      <c r="E206" s="1291" t="s">
        <v>169</v>
      </c>
      <c r="F206" s="1291">
        <v>4</v>
      </c>
      <c r="G206" s="1040">
        <v>250</v>
      </c>
      <c r="H206" s="1040">
        <f t="shared" si="19"/>
        <v>300</v>
      </c>
      <c r="I206" s="1040">
        <v>250</v>
      </c>
      <c r="J206" s="1142">
        <f t="shared" si="20"/>
        <v>1200</v>
      </c>
    </row>
    <row r="207" spans="2:10" s="1245" customFormat="1">
      <c r="B207" s="1154">
        <f t="shared" si="21"/>
        <v>5</v>
      </c>
      <c r="C207" s="1290" t="s">
        <v>368</v>
      </c>
      <c r="D207" s="1288"/>
      <c r="E207" s="1291" t="s">
        <v>169</v>
      </c>
      <c r="F207" s="1291">
        <v>1</v>
      </c>
      <c r="G207" s="1040">
        <v>410</v>
      </c>
      <c r="H207" s="1040">
        <f t="shared" si="19"/>
        <v>492</v>
      </c>
      <c r="I207" s="1040">
        <v>410</v>
      </c>
      <c r="J207" s="1142">
        <f t="shared" si="20"/>
        <v>492</v>
      </c>
    </row>
    <row r="208" spans="2:10" s="1245" customFormat="1">
      <c r="B208" s="1154">
        <f t="shared" si="21"/>
        <v>6</v>
      </c>
      <c r="C208" s="1290" t="s">
        <v>171</v>
      </c>
      <c r="D208" s="1288"/>
      <c r="E208" s="1291" t="s">
        <v>169</v>
      </c>
      <c r="F208" s="1291">
        <v>3</v>
      </c>
      <c r="G208" s="1040">
        <v>266</v>
      </c>
      <c r="H208" s="1040">
        <f t="shared" si="19"/>
        <v>319.2</v>
      </c>
      <c r="I208" s="1040">
        <v>266</v>
      </c>
      <c r="J208" s="1142">
        <f t="shared" si="20"/>
        <v>957.59999999999991</v>
      </c>
    </row>
    <row r="209" spans="2:10" s="1245" customFormat="1">
      <c r="B209" s="1154">
        <f t="shared" si="21"/>
        <v>7</v>
      </c>
      <c r="C209" s="1290" t="s">
        <v>369</v>
      </c>
      <c r="D209" s="1288"/>
      <c r="E209" s="1291" t="s">
        <v>167</v>
      </c>
      <c r="F209" s="1291">
        <v>5</v>
      </c>
      <c r="G209" s="1040">
        <v>210</v>
      </c>
      <c r="H209" s="1040">
        <f t="shared" si="19"/>
        <v>252</v>
      </c>
      <c r="I209" s="1040">
        <v>210</v>
      </c>
      <c r="J209" s="1142">
        <f t="shared" si="20"/>
        <v>1260</v>
      </c>
    </row>
    <row r="210" spans="2:10" s="1245" customFormat="1">
      <c r="B210" s="1154">
        <f t="shared" si="21"/>
        <v>8</v>
      </c>
      <c r="C210" s="1290" t="s">
        <v>172</v>
      </c>
      <c r="D210" s="1288"/>
      <c r="E210" s="1291" t="s">
        <v>1049</v>
      </c>
      <c r="F210" s="1291">
        <v>1</v>
      </c>
      <c r="G210" s="1040">
        <v>258</v>
      </c>
      <c r="H210" s="1040">
        <f t="shared" si="19"/>
        <v>309.60000000000002</v>
      </c>
      <c r="I210" s="1040">
        <v>258</v>
      </c>
      <c r="J210" s="1142">
        <f t="shared" si="20"/>
        <v>309.60000000000002</v>
      </c>
    </row>
    <row r="211" spans="2:10" s="1245" customFormat="1">
      <c r="B211" s="1154">
        <f t="shared" si="21"/>
        <v>9</v>
      </c>
      <c r="C211" s="1290" t="s">
        <v>173</v>
      </c>
      <c r="D211" s="1288"/>
      <c r="E211" s="1291" t="s">
        <v>169</v>
      </c>
      <c r="F211" s="1291">
        <v>20</v>
      </c>
      <c r="G211" s="1040">
        <v>160</v>
      </c>
      <c r="H211" s="1040">
        <f t="shared" si="19"/>
        <v>312</v>
      </c>
      <c r="I211" s="1040">
        <v>260</v>
      </c>
      <c r="J211" s="1142">
        <f t="shared" si="20"/>
        <v>6240</v>
      </c>
    </row>
    <row r="212" spans="2:10" s="1245" customFormat="1">
      <c r="B212" s="1154">
        <f t="shared" si="21"/>
        <v>10</v>
      </c>
      <c r="C212" s="1290" t="s">
        <v>174</v>
      </c>
      <c r="D212" s="1288"/>
      <c r="E212" s="1291" t="s">
        <v>169</v>
      </c>
      <c r="F212" s="1291">
        <v>50</v>
      </c>
      <c r="G212" s="1040">
        <v>210</v>
      </c>
      <c r="H212" s="1040">
        <f t="shared" si="19"/>
        <v>321.60000000000002</v>
      </c>
      <c r="I212" s="1040">
        <v>268</v>
      </c>
      <c r="J212" s="1142">
        <f t="shared" si="20"/>
        <v>16080.000000000002</v>
      </c>
    </row>
    <row r="213" spans="2:10" s="1245" customFormat="1">
      <c r="B213" s="1154">
        <f t="shared" si="21"/>
        <v>11</v>
      </c>
      <c r="C213" s="1290" t="s">
        <v>175</v>
      </c>
      <c r="D213" s="1288"/>
      <c r="E213" s="1291" t="s">
        <v>169</v>
      </c>
      <c r="F213" s="1291">
        <v>50</v>
      </c>
      <c r="G213" s="1040">
        <v>87</v>
      </c>
      <c r="H213" s="1040">
        <f t="shared" si="19"/>
        <v>116.4</v>
      </c>
      <c r="I213" s="1040">
        <v>97</v>
      </c>
      <c r="J213" s="1142">
        <f t="shared" si="20"/>
        <v>5820</v>
      </c>
    </row>
    <row r="214" spans="2:10" s="1245" customFormat="1">
      <c r="B214" s="1154">
        <f t="shared" si="21"/>
        <v>12</v>
      </c>
      <c r="C214" s="1290" t="s">
        <v>370</v>
      </c>
      <c r="D214" s="1288"/>
      <c r="E214" s="1291" t="s">
        <v>1049</v>
      </c>
      <c r="F214" s="1291">
        <v>1</v>
      </c>
      <c r="G214" s="1040">
        <v>2500</v>
      </c>
      <c r="H214" s="1040">
        <f t="shared" si="19"/>
        <v>3000</v>
      </c>
      <c r="I214" s="1040">
        <v>2500</v>
      </c>
      <c r="J214" s="1142">
        <f t="shared" si="20"/>
        <v>3000</v>
      </c>
    </row>
    <row r="215" spans="2:10" s="1245" customFormat="1">
      <c r="B215" s="1154">
        <f t="shared" si="21"/>
        <v>13</v>
      </c>
      <c r="C215" s="1290" t="s">
        <v>176</v>
      </c>
      <c r="D215" s="1288"/>
      <c r="E215" s="1291" t="s">
        <v>177</v>
      </c>
      <c r="F215" s="1291">
        <v>10</v>
      </c>
      <c r="G215" s="1040">
        <v>290</v>
      </c>
      <c r="H215" s="1040">
        <f t="shared" si="19"/>
        <v>384</v>
      </c>
      <c r="I215" s="1040">
        <v>320</v>
      </c>
      <c r="J215" s="1142">
        <f t="shared" si="20"/>
        <v>3840</v>
      </c>
    </row>
    <row r="216" spans="2:10" s="1245" customFormat="1">
      <c r="B216" s="1154">
        <f t="shared" si="21"/>
        <v>14</v>
      </c>
      <c r="C216" s="1290" t="s">
        <v>178</v>
      </c>
      <c r="D216" s="1288"/>
      <c r="E216" s="1291" t="s">
        <v>169</v>
      </c>
      <c r="F216" s="1291">
        <v>1</v>
      </c>
      <c r="G216" s="1040">
        <v>253</v>
      </c>
      <c r="H216" s="1040">
        <f t="shared" si="19"/>
        <v>303.60000000000002</v>
      </c>
      <c r="I216" s="1040">
        <v>253</v>
      </c>
      <c r="J216" s="1142">
        <f t="shared" si="20"/>
        <v>303.60000000000002</v>
      </c>
    </row>
    <row r="217" spans="2:10" s="1245" customFormat="1">
      <c r="B217" s="1154">
        <f t="shared" si="21"/>
        <v>15</v>
      </c>
      <c r="C217" s="1290" t="s">
        <v>179</v>
      </c>
      <c r="D217" s="1288"/>
      <c r="E217" s="1291" t="s">
        <v>169</v>
      </c>
      <c r="F217" s="1291">
        <v>1</v>
      </c>
      <c r="G217" s="1040">
        <v>267</v>
      </c>
      <c r="H217" s="1040">
        <f t="shared" si="19"/>
        <v>320.39999999999998</v>
      </c>
      <c r="I217" s="1040">
        <v>267</v>
      </c>
      <c r="J217" s="1142">
        <f t="shared" si="20"/>
        <v>320.39999999999998</v>
      </c>
    </row>
    <row r="218" spans="2:10" s="1245" customFormat="1">
      <c r="B218" s="1154">
        <f t="shared" si="21"/>
        <v>16</v>
      </c>
      <c r="C218" s="1290" t="s">
        <v>371</v>
      </c>
      <c r="D218" s="1288"/>
      <c r="E218" s="1291" t="s">
        <v>1049</v>
      </c>
      <c r="F218" s="1291">
        <v>5</v>
      </c>
      <c r="G218" s="1040">
        <v>1150</v>
      </c>
      <c r="H218" s="1040">
        <f t="shared" si="19"/>
        <v>1380</v>
      </c>
      <c r="I218" s="1040">
        <v>1150</v>
      </c>
      <c r="J218" s="1142">
        <f t="shared" si="20"/>
        <v>6900</v>
      </c>
    </row>
    <row r="219" spans="2:10" s="1245" customFormat="1">
      <c r="B219" s="1154">
        <f t="shared" si="21"/>
        <v>17</v>
      </c>
      <c r="C219" s="1290" t="s">
        <v>180</v>
      </c>
      <c r="D219" s="1288"/>
      <c r="E219" s="1291" t="s">
        <v>181</v>
      </c>
      <c r="F219" s="1291">
        <v>1</v>
      </c>
      <c r="G219" s="1040">
        <v>80</v>
      </c>
      <c r="H219" s="1040">
        <f t="shared" si="19"/>
        <v>96</v>
      </c>
      <c r="I219" s="1040">
        <v>80</v>
      </c>
      <c r="J219" s="1142">
        <f t="shared" si="20"/>
        <v>96</v>
      </c>
    </row>
    <row r="220" spans="2:10" s="1245" customFormat="1">
      <c r="B220" s="1154">
        <f t="shared" si="21"/>
        <v>18</v>
      </c>
      <c r="C220" s="1290" t="s">
        <v>182</v>
      </c>
      <c r="D220" s="1288"/>
      <c r="E220" s="1291" t="s">
        <v>169</v>
      </c>
      <c r="F220" s="1291">
        <v>1</v>
      </c>
      <c r="G220" s="1040">
        <v>286</v>
      </c>
      <c r="H220" s="1040">
        <f t="shared" si="19"/>
        <v>343.2</v>
      </c>
      <c r="I220" s="1040">
        <v>286</v>
      </c>
      <c r="J220" s="1142">
        <f t="shared" si="20"/>
        <v>343.2</v>
      </c>
    </row>
    <row r="221" spans="2:10" s="1245" customFormat="1">
      <c r="B221" s="1154">
        <f t="shared" si="21"/>
        <v>19</v>
      </c>
      <c r="C221" s="1290" t="s">
        <v>183</v>
      </c>
      <c r="D221" s="1288"/>
      <c r="E221" s="1291" t="s">
        <v>169</v>
      </c>
      <c r="F221" s="1291">
        <v>2</v>
      </c>
      <c r="G221" s="1040">
        <v>294</v>
      </c>
      <c r="H221" s="1040">
        <f t="shared" si="19"/>
        <v>408</v>
      </c>
      <c r="I221" s="1040">
        <v>340</v>
      </c>
      <c r="J221" s="1142">
        <f t="shared" si="20"/>
        <v>816</v>
      </c>
    </row>
    <row r="222" spans="2:10" s="1245" customFormat="1">
      <c r="B222" s="1154">
        <f t="shared" si="21"/>
        <v>20</v>
      </c>
      <c r="C222" s="1290" t="s">
        <v>184</v>
      </c>
      <c r="D222" s="1288"/>
      <c r="E222" s="1291" t="s">
        <v>185</v>
      </c>
      <c r="F222" s="1291">
        <v>3</v>
      </c>
      <c r="G222" s="1040">
        <v>815</v>
      </c>
      <c r="H222" s="1040">
        <f t="shared" si="19"/>
        <v>978</v>
      </c>
      <c r="I222" s="1040">
        <v>815</v>
      </c>
      <c r="J222" s="1142">
        <f t="shared" si="20"/>
        <v>2934</v>
      </c>
    </row>
    <row r="223" spans="2:10" s="1245" customFormat="1">
      <c r="B223" s="1154">
        <f t="shared" si="21"/>
        <v>21</v>
      </c>
      <c r="C223" s="1290" t="s">
        <v>186</v>
      </c>
      <c r="D223" s="1288"/>
      <c r="E223" s="1291" t="s">
        <v>169</v>
      </c>
      <c r="F223" s="1291">
        <v>3</v>
      </c>
      <c r="G223" s="1040">
        <v>310</v>
      </c>
      <c r="H223" s="1040">
        <f t="shared" si="19"/>
        <v>372</v>
      </c>
      <c r="I223" s="1040">
        <v>310</v>
      </c>
      <c r="J223" s="1142">
        <f t="shared" si="20"/>
        <v>1116</v>
      </c>
    </row>
    <row r="224" spans="2:10" s="1245" customFormat="1">
      <c r="B224" s="1154">
        <f t="shared" si="21"/>
        <v>22</v>
      </c>
      <c r="C224" s="1290" t="s">
        <v>187</v>
      </c>
      <c r="D224" s="1288"/>
      <c r="E224" s="1291" t="s">
        <v>188</v>
      </c>
      <c r="F224" s="1291">
        <v>2</v>
      </c>
      <c r="G224" s="1040">
        <v>315</v>
      </c>
      <c r="H224" s="1040">
        <f t="shared" si="19"/>
        <v>378</v>
      </c>
      <c r="I224" s="1040">
        <v>315</v>
      </c>
      <c r="J224" s="1142">
        <f t="shared" si="20"/>
        <v>756</v>
      </c>
    </row>
    <row r="225" spans="2:10" s="1245" customFormat="1">
      <c r="B225" s="1154">
        <f t="shared" si="21"/>
        <v>23</v>
      </c>
      <c r="C225" s="1290" t="s">
        <v>189</v>
      </c>
      <c r="D225" s="1288"/>
      <c r="E225" s="1291" t="s">
        <v>167</v>
      </c>
      <c r="F225" s="1291">
        <v>20</v>
      </c>
      <c r="G225" s="1040">
        <v>200</v>
      </c>
      <c r="H225" s="1040">
        <f t="shared" si="19"/>
        <v>240</v>
      </c>
      <c r="I225" s="1040">
        <v>200</v>
      </c>
      <c r="J225" s="1142">
        <f t="shared" si="20"/>
        <v>4800</v>
      </c>
    </row>
    <row r="226" spans="2:10" s="1245" customFormat="1">
      <c r="B226" s="1154">
        <f t="shared" si="21"/>
        <v>24</v>
      </c>
      <c r="C226" s="1290" t="s">
        <v>190</v>
      </c>
      <c r="D226" s="1288"/>
      <c r="E226" s="1291" t="s">
        <v>167</v>
      </c>
      <c r="F226" s="1291">
        <v>15</v>
      </c>
      <c r="G226" s="1040">
        <v>102</v>
      </c>
      <c r="H226" s="1040">
        <f t="shared" si="19"/>
        <v>122.4</v>
      </c>
      <c r="I226" s="1040">
        <v>102</v>
      </c>
      <c r="J226" s="1142">
        <f t="shared" si="20"/>
        <v>1836</v>
      </c>
    </row>
    <row r="227" spans="2:10" s="1245" customFormat="1">
      <c r="B227" s="1154">
        <f t="shared" si="21"/>
        <v>25</v>
      </c>
      <c r="C227" s="1290" t="s">
        <v>191</v>
      </c>
      <c r="D227" s="1288"/>
      <c r="E227" s="1291" t="s">
        <v>167</v>
      </c>
      <c r="F227" s="1291">
        <v>15</v>
      </c>
      <c r="G227" s="1040">
        <v>195</v>
      </c>
      <c r="H227" s="1040">
        <f t="shared" si="19"/>
        <v>234</v>
      </c>
      <c r="I227" s="1040">
        <v>195</v>
      </c>
      <c r="J227" s="1142">
        <f t="shared" si="20"/>
        <v>3510</v>
      </c>
    </row>
    <row r="228" spans="2:10" s="1245" customFormat="1">
      <c r="B228" s="1154">
        <f t="shared" si="21"/>
        <v>26</v>
      </c>
      <c r="C228" s="1290" t="s">
        <v>192</v>
      </c>
      <c r="D228" s="1288"/>
      <c r="E228" s="1291" t="s">
        <v>167</v>
      </c>
      <c r="F228" s="1291">
        <v>1</v>
      </c>
      <c r="G228" s="1040">
        <v>300</v>
      </c>
      <c r="H228" s="1040">
        <f t="shared" si="19"/>
        <v>360</v>
      </c>
      <c r="I228" s="1040">
        <v>300</v>
      </c>
      <c r="J228" s="1142">
        <f t="shared" si="20"/>
        <v>360</v>
      </c>
    </row>
    <row r="229" spans="2:10" s="1245" customFormat="1">
      <c r="B229" s="1154">
        <f t="shared" si="21"/>
        <v>27</v>
      </c>
      <c r="C229" s="1290" t="s">
        <v>193</v>
      </c>
      <c r="D229" s="1288"/>
      <c r="E229" s="1291" t="s">
        <v>169</v>
      </c>
      <c r="F229" s="1291">
        <v>8</v>
      </c>
      <c r="G229" s="1040">
        <v>208</v>
      </c>
      <c r="H229" s="1040">
        <f t="shared" si="19"/>
        <v>249.6</v>
      </c>
      <c r="I229" s="1040">
        <v>208</v>
      </c>
      <c r="J229" s="1142">
        <f t="shared" si="20"/>
        <v>1996.8</v>
      </c>
    </row>
    <row r="230" spans="2:10" s="1245" customFormat="1">
      <c r="B230" s="1154">
        <f t="shared" si="21"/>
        <v>28</v>
      </c>
      <c r="C230" s="1290" t="s">
        <v>194</v>
      </c>
      <c r="D230" s="1288"/>
      <c r="E230" s="1291" t="s">
        <v>181</v>
      </c>
      <c r="F230" s="1291">
        <v>3</v>
      </c>
      <c r="G230" s="1040">
        <v>210</v>
      </c>
      <c r="H230" s="1040">
        <f t="shared" si="19"/>
        <v>366</v>
      </c>
      <c r="I230" s="1040">
        <v>305</v>
      </c>
      <c r="J230" s="1142">
        <f t="shared" si="20"/>
        <v>1098</v>
      </c>
    </row>
    <row r="231" spans="2:10" s="1245" customFormat="1">
      <c r="B231" s="1154">
        <f t="shared" si="21"/>
        <v>29</v>
      </c>
      <c r="C231" s="1290" t="s">
        <v>195</v>
      </c>
      <c r="D231" s="1288"/>
      <c r="E231" s="1292" t="s">
        <v>181</v>
      </c>
      <c r="F231" s="1292">
        <v>3</v>
      </c>
      <c r="G231" s="1040">
        <v>238</v>
      </c>
      <c r="H231" s="1040">
        <f t="shared" si="19"/>
        <v>372</v>
      </c>
      <c r="I231" s="1040">
        <v>310</v>
      </c>
      <c r="J231" s="1142">
        <f t="shared" si="20"/>
        <v>1116</v>
      </c>
    </row>
    <row r="232" spans="2:10" s="1245" customFormat="1">
      <c r="B232" s="1154">
        <f t="shared" si="21"/>
        <v>30</v>
      </c>
      <c r="C232" s="1290" t="s">
        <v>196</v>
      </c>
      <c r="D232" s="1288"/>
      <c r="E232" s="1291" t="s">
        <v>169</v>
      </c>
      <c r="F232" s="1291">
        <v>5</v>
      </c>
      <c r="G232" s="1040">
        <v>555</v>
      </c>
      <c r="H232" s="1040">
        <f t="shared" si="19"/>
        <v>666</v>
      </c>
      <c r="I232" s="1040">
        <v>555</v>
      </c>
      <c r="J232" s="1142">
        <f t="shared" si="20"/>
        <v>3330</v>
      </c>
    </row>
    <row r="233" spans="2:10" s="1245" customFormat="1">
      <c r="B233" s="1154">
        <f t="shared" si="21"/>
        <v>31</v>
      </c>
      <c r="C233" s="1290" t="s">
        <v>197</v>
      </c>
      <c r="D233" s="1288"/>
      <c r="E233" s="1291" t="s">
        <v>167</v>
      </c>
      <c r="F233" s="1291">
        <v>1</v>
      </c>
      <c r="G233" s="1040">
        <v>870</v>
      </c>
      <c r="H233" s="1040">
        <f t="shared" si="19"/>
        <v>2611.1999999999998</v>
      </c>
      <c r="I233" s="1040">
        <v>2176</v>
      </c>
      <c r="J233" s="1142">
        <f t="shared" si="20"/>
        <v>2611.1999999999998</v>
      </c>
    </row>
    <row r="234" spans="2:10" s="1245" customFormat="1">
      <c r="B234" s="1154">
        <f t="shared" si="21"/>
        <v>32</v>
      </c>
      <c r="C234" s="1290" t="s">
        <v>198</v>
      </c>
      <c r="D234" s="1288"/>
      <c r="E234" s="1291" t="s">
        <v>167</v>
      </c>
      <c r="F234" s="1291">
        <v>5</v>
      </c>
      <c r="G234" s="1040">
        <v>51</v>
      </c>
      <c r="H234" s="1040">
        <f t="shared" si="19"/>
        <v>146.4</v>
      </c>
      <c r="I234" s="1040">
        <v>122</v>
      </c>
      <c r="J234" s="1142">
        <f t="shared" si="20"/>
        <v>732</v>
      </c>
    </row>
    <row r="235" spans="2:10" s="1245" customFormat="1">
      <c r="B235" s="1154">
        <f t="shared" si="21"/>
        <v>33</v>
      </c>
      <c r="C235" s="1290" t="s">
        <v>199</v>
      </c>
      <c r="D235" s="1288"/>
      <c r="E235" s="1291" t="s">
        <v>200</v>
      </c>
      <c r="F235" s="1291">
        <v>1</v>
      </c>
      <c r="G235" s="1040">
        <v>900</v>
      </c>
      <c r="H235" s="1040">
        <f t="shared" si="19"/>
        <v>2090.4</v>
      </c>
      <c r="I235" s="1040">
        <v>1742</v>
      </c>
      <c r="J235" s="1142">
        <f t="shared" si="20"/>
        <v>2090.4</v>
      </c>
    </row>
    <row r="236" spans="2:10" s="1245" customFormat="1">
      <c r="B236" s="1154">
        <f t="shared" si="21"/>
        <v>34</v>
      </c>
      <c r="C236" s="1290" t="s">
        <v>201</v>
      </c>
      <c r="D236" s="1288"/>
      <c r="E236" s="1291" t="s">
        <v>167</v>
      </c>
      <c r="F236" s="1291">
        <v>4</v>
      </c>
      <c r="G236" s="1040">
        <v>1200</v>
      </c>
      <c r="H236" s="1040">
        <f t="shared" si="19"/>
        <v>2083.1999999999998</v>
      </c>
      <c r="I236" s="1040">
        <v>1736</v>
      </c>
      <c r="J236" s="1142">
        <f t="shared" si="20"/>
        <v>8332.7999999999993</v>
      </c>
    </row>
    <row r="237" spans="2:10" s="1245" customFormat="1">
      <c r="B237" s="1154">
        <f t="shared" si="21"/>
        <v>35</v>
      </c>
      <c r="C237" s="1290" t="s">
        <v>407</v>
      </c>
      <c r="D237" s="1288"/>
      <c r="E237" s="1291" t="s">
        <v>169</v>
      </c>
      <c r="F237" s="1291">
        <v>1</v>
      </c>
      <c r="G237" s="1040">
        <v>2000</v>
      </c>
      <c r="H237" s="1040">
        <f t="shared" si="19"/>
        <v>2400</v>
      </c>
      <c r="I237" s="1040">
        <v>2000</v>
      </c>
      <c r="J237" s="1142">
        <f t="shared" si="20"/>
        <v>2400</v>
      </c>
    </row>
    <row r="238" spans="2:10" s="1245" customFormat="1">
      <c r="B238" s="1154">
        <f t="shared" si="21"/>
        <v>36</v>
      </c>
      <c r="C238" s="1290" t="s">
        <v>202</v>
      </c>
      <c r="D238" s="1288"/>
      <c r="E238" s="1291" t="s">
        <v>169</v>
      </c>
      <c r="F238" s="1291">
        <v>100</v>
      </c>
      <c r="G238" s="1040">
        <v>47</v>
      </c>
      <c r="H238" s="1040">
        <f t="shared" si="19"/>
        <v>56.4</v>
      </c>
      <c r="I238" s="1040">
        <v>47</v>
      </c>
      <c r="J238" s="1142">
        <f t="shared" si="20"/>
        <v>5640</v>
      </c>
    </row>
    <row r="239" spans="2:10" s="1245" customFormat="1">
      <c r="B239" s="1154">
        <f t="shared" si="21"/>
        <v>37</v>
      </c>
      <c r="C239" s="1290" t="s">
        <v>372</v>
      </c>
      <c r="D239" s="1288"/>
      <c r="E239" s="1291" t="s">
        <v>188</v>
      </c>
      <c r="F239" s="1291">
        <v>0.05</v>
      </c>
      <c r="G239" s="1040">
        <v>54.5</v>
      </c>
      <c r="H239" s="1040">
        <f t="shared" si="19"/>
        <v>8640</v>
      </c>
      <c r="I239" s="1040">
        <v>7200</v>
      </c>
      <c r="J239" s="1142">
        <f t="shared" si="20"/>
        <v>432</v>
      </c>
    </row>
    <row r="240" spans="2:10" s="1245" customFormat="1">
      <c r="B240" s="1154">
        <f t="shared" si="21"/>
        <v>38</v>
      </c>
      <c r="C240" s="1290" t="s">
        <v>203</v>
      </c>
      <c r="D240" s="1288"/>
      <c r="E240" s="1291" t="s">
        <v>188</v>
      </c>
      <c r="F240" s="1291">
        <v>1</v>
      </c>
      <c r="G240" s="1040">
        <v>86</v>
      </c>
      <c r="H240" s="1040">
        <f t="shared" si="19"/>
        <v>108</v>
      </c>
      <c r="I240" s="1040">
        <v>90</v>
      </c>
      <c r="J240" s="1142">
        <f t="shared" si="20"/>
        <v>108</v>
      </c>
    </row>
    <row r="241" spans="2:10" s="1245" customFormat="1">
      <c r="B241" s="1154">
        <f t="shared" si="21"/>
        <v>39</v>
      </c>
      <c r="C241" s="1290" t="s">
        <v>204</v>
      </c>
      <c r="D241" s="1288"/>
      <c r="E241" s="1291" t="s">
        <v>169</v>
      </c>
      <c r="F241" s="1291">
        <v>0</v>
      </c>
      <c r="G241" s="1040"/>
      <c r="H241" s="1040">
        <f t="shared" si="19"/>
        <v>0</v>
      </c>
      <c r="I241" s="1040"/>
      <c r="J241" s="1142">
        <f t="shared" si="20"/>
        <v>0</v>
      </c>
    </row>
    <row r="242" spans="2:10" s="1245" customFormat="1">
      <c r="B242" s="1154">
        <f t="shared" si="21"/>
        <v>40</v>
      </c>
      <c r="C242" s="1290" t="s">
        <v>205</v>
      </c>
      <c r="D242" s="1288"/>
      <c r="E242" s="1291" t="s">
        <v>169</v>
      </c>
      <c r="F242" s="1291">
        <v>1</v>
      </c>
      <c r="G242" s="1040">
        <v>275</v>
      </c>
      <c r="H242" s="1040">
        <f t="shared" si="19"/>
        <v>408</v>
      </c>
      <c r="I242" s="1040">
        <v>340</v>
      </c>
      <c r="J242" s="1142">
        <f t="shared" si="20"/>
        <v>408</v>
      </c>
    </row>
    <row r="243" spans="2:10" s="1245" customFormat="1">
      <c r="B243" s="1154">
        <f t="shared" si="21"/>
        <v>41</v>
      </c>
      <c r="C243" s="1290" t="s">
        <v>206</v>
      </c>
      <c r="D243" s="1288"/>
      <c r="E243" s="1291" t="s">
        <v>169</v>
      </c>
      <c r="F243" s="1291">
        <v>0</v>
      </c>
      <c r="G243" s="1040"/>
      <c r="H243" s="1040">
        <f t="shared" si="19"/>
        <v>0</v>
      </c>
      <c r="I243" s="1040"/>
      <c r="J243" s="1142">
        <f t="shared" si="20"/>
        <v>0</v>
      </c>
    </row>
    <row r="244" spans="2:10" s="1245" customFormat="1">
      <c r="B244" s="1154">
        <f t="shared" si="21"/>
        <v>42</v>
      </c>
      <c r="C244" s="1290" t="s">
        <v>207</v>
      </c>
      <c r="D244" s="1288"/>
      <c r="E244" s="1291" t="s">
        <v>169</v>
      </c>
      <c r="F244" s="1291">
        <v>10</v>
      </c>
      <c r="G244" s="1040">
        <v>30</v>
      </c>
      <c r="H244" s="1040">
        <f t="shared" si="19"/>
        <v>48</v>
      </c>
      <c r="I244" s="1040">
        <v>40</v>
      </c>
      <c r="J244" s="1142">
        <f t="shared" si="20"/>
        <v>480</v>
      </c>
    </row>
    <row r="245" spans="2:10" s="1245" customFormat="1">
      <c r="B245" s="1154">
        <f t="shared" si="21"/>
        <v>43</v>
      </c>
      <c r="C245" s="1290" t="s">
        <v>373</v>
      </c>
      <c r="D245" s="1288"/>
      <c r="E245" s="1291" t="s">
        <v>169</v>
      </c>
      <c r="F245" s="1291">
        <v>2</v>
      </c>
      <c r="G245" s="1040">
        <v>230</v>
      </c>
      <c r="H245" s="1040">
        <f t="shared" si="19"/>
        <v>379.2</v>
      </c>
      <c r="I245" s="1040">
        <v>316</v>
      </c>
      <c r="J245" s="1142">
        <f t="shared" si="20"/>
        <v>758.4</v>
      </c>
    </row>
    <row r="246" spans="2:10" s="1245" customFormat="1">
      <c r="B246" s="1154">
        <f t="shared" si="21"/>
        <v>44</v>
      </c>
      <c r="C246" s="1290" t="s">
        <v>374</v>
      </c>
      <c r="D246" s="1288"/>
      <c r="E246" s="1291" t="s">
        <v>169</v>
      </c>
      <c r="F246" s="1291">
        <v>1</v>
      </c>
      <c r="G246" s="1040">
        <v>42.5</v>
      </c>
      <c r="H246" s="1040">
        <f t="shared" si="19"/>
        <v>51</v>
      </c>
      <c r="I246" s="1040">
        <v>42.5</v>
      </c>
      <c r="J246" s="1142">
        <f t="shared" si="20"/>
        <v>51</v>
      </c>
    </row>
    <row r="247" spans="2:10" s="1245" customFormat="1">
      <c r="B247" s="1154">
        <f t="shared" si="21"/>
        <v>45</v>
      </c>
      <c r="C247" s="1290" t="s">
        <v>375</v>
      </c>
      <c r="D247" s="1288"/>
      <c r="E247" s="1291" t="s">
        <v>169</v>
      </c>
      <c r="F247" s="1291">
        <v>46</v>
      </c>
      <c r="G247" s="1040">
        <v>25</v>
      </c>
      <c r="H247" s="1040">
        <f t="shared" si="19"/>
        <v>30</v>
      </c>
      <c r="I247" s="1040">
        <v>25</v>
      </c>
      <c r="J247" s="1142">
        <f t="shared" si="20"/>
        <v>1380</v>
      </c>
    </row>
    <row r="248" spans="2:10" s="1245" customFormat="1">
      <c r="B248" s="1154">
        <f t="shared" si="21"/>
        <v>46</v>
      </c>
      <c r="C248" s="1290" t="s">
        <v>376</v>
      </c>
      <c r="D248" s="1288"/>
      <c r="E248" s="1291" t="s">
        <v>169</v>
      </c>
      <c r="F248" s="1291">
        <v>23</v>
      </c>
      <c r="G248" s="1040">
        <v>75</v>
      </c>
      <c r="H248" s="1040">
        <f t="shared" si="19"/>
        <v>90</v>
      </c>
      <c r="I248" s="1040">
        <v>75</v>
      </c>
      <c r="J248" s="1142">
        <f t="shared" si="20"/>
        <v>2070</v>
      </c>
    </row>
    <row r="249" spans="2:10" s="1245" customFormat="1">
      <c r="B249" s="1154">
        <f t="shared" si="21"/>
        <v>47</v>
      </c>
      <c r="C249" s="1290" t="s">
        <v>377</v>
      </c>
      <c r="D249" s="1288"/>
      <c r="E249" s="1291" t="s">
        <v>169</v>
      </c>
      <c r="F249" s="1291">
        <v>1</v>
      </c>
      <c r="G249" s="1040">
        <v>25</v>
      </c>
      <c r="H249" s="1040">
        <f t="shared" si="19"/>
        <v>30</v>
      </c>
      <c r="I249" s="1040">
        <v>25</v>
      </c>
      <c r="J249" s="1142">
        <f t="shared" si="20"/>
        <v>30</v>
      </c>
    </row>
    <row r="250" spans="2:10" s="1245" customFormat="1">
      <c r="B250" s="1154">
        <f t="shared" si="21"/>
        <v>48</v>
      </c>
      <c r="C250" s="1290" t="s">
        <v>378</v>
      </c>
      <c r="D250" s="1288"/>
      <c r="E250" s="1291" t="s">
        <v>169</v>
      </c>
      <c r="F250" s="1291">
        <v>1</v>
      </c>
      <c r="G250" s="1040">
        <v>700</v>
      </c>
      <c r="H250" s="1040">
        <f t="shared" si="19"/>
        <v>840</v>
      </c>
      <c r="I250" s="1040">
        <v>700</v>
      </c>
      <c r="J250" s="1142">
        <f t="shared" si="20"/>
        <v>840</v>
      </c>
    </row>
    <row r="251" spans="2:10" s="1245" customFormat="1">
      <c r="B251" s="1154">
        <f t="shared" si="21"/>
        <v>49</v>
      </c>
      <c r="C251" s="1290" t="s">
        <v>379</v>
      </c>
      <c r="D251" s="1288"/>
      <c r="E251" s="1291" t="s">
        <v>169</v>
      </c>
      <c r="F251" s="1291">
        <v>1</v>
      </c>
      <c r="G251" s="1040">
        <v>700</v>
      </c>
      <c r="H251" s="1040">
        <f t="shared" si="19"/>
        <v>840</v>
      </c>
      <c r="I251" s="1040">
        <v>700</v>
      </c>
      <c r="J251" s="1142">
        <f t="shared" si="20"/>
        <v>840</v>
      </c>
    </row>
    <row r="252" spans="2:10" s="1245" customFormat="1">
      <c r="B252" s="1154">
        <f t="shared" si="21"/>
        <v>50</v>
      </c>
      <c r="C252" s="1290" t="s">
        <v>380</v>
      </c>
      <c r="D252" s="1288"/>
      <c r="E252" s="1291" t="s">
        <v>169</v>
      </c>
      <c r="F252" s="1291">
        <v>1</v>
      </c>
      <c r="G252" s="1040">
        <v>300</v>
      </c>
      <c r="H252" s="1040">
        <f t="shared" si="19"/>
        <v>360</v>
      </c>
      <c r="I252" s="1040">
        <v>300</v>
      </c>
      <c r="J252" s="1142">
        <f t="shared" si="20"/>
        <v>360</v>
      </c>
    </row>
    <row r="253" spans="2:10" s="1245" customFormat="1">
      <c r="B253" s="1154"/>
      <c r="C253" s="1290"/>
      <c r="D253" s="1288"/>
      <c r="E253" s="1291"/>
      <c r="F253" s="1307"/>
      <c r="G253" s="1154"/>
      <c r="H253" s="1143"/>
      <c r="I253" s="1033"/>
      <c r="J253" s="1142"/>
    </row>
    <row r="254" spans="2:10" s="1245" customFormat="1">
      <c r="B254" s="1154"/>
      <c r="C254" s="1316"/>
      <c r="D254" s="1288"/>
      <c r="E254" s="1156"/>
      <c r="F254" s="1156"/>
      <c r="G254" s="1156"/>
      <c r="H254" s="1156"/>
      <c r="I254" s="1258"/>
      <c r="J254" s="1142">
        <f>SUM(J203:J253)</f>
        <v>103682.99999999999</v>
      </c>
    </row>
    <row r="255" spans="2:10" s="1245" customFormat="1">
      <c r="B255" s="1284"/>
      <c r="C255" s="1300"/>
      <c r="D255" s="1293"/>
      <c r="E255" s="1284"/>
      <c r="F255" s="1267"/>
      <c r="G255" s="1284"/>
      <c r="H255" s="1267"/>
      <c r="I255" s="1312"/>
      <c r="J255" s="1272"/>
    </row>
    <row r="256" spans="2:10" s="1245" customFormat="1">
      <c r="B256" s="1284"/>
      <c r="C256" s="1318" t="s">
        <v>1287</v>
      </c>
      <c r="D256" s="1379"/>
      <c r="E256" s="1293" t="s">
        <v>237</v>
      </c>
      <c r="F256" s="1267"/>
      <c r="G256" s="1284"/>
      <c r="H256" s="1267"/>
      <c r="I256" s="1312"/>
      <c r="J256" s="1272"/>
    </row>
    <row r="257" spans="2:10" s="1245" customFormat="1">
      <c r="B257" s="1284"/>
      <c r="C257" s="1300"/>
      <c r="D257" s="1293"/>
      <c r="E257" s="1284"/>
      <c r="F257" s="1267"/>
      <c r="G257" s="1284"/>
      <c r="H257" s="1267"/>
      <c r="I257" s="1312"/>
      <c r="J257" s="1272"/>
    </row>
    <row r="258" spans="2:10" s="1245" customFormat="1">
      <c r="B258" s="1284"/>
      <c r="C258" s="1301" t="s">
        <v>208</v>
      </c>
      <c r="D258" s="1293"/>
      <c r="E258" s="1284"/>
      <c r="F258" s="1267"/>
      <c r="G258" s="1284"/>
      <c r="H258" s="1267"/>
      <c r="I258" s="1312"/>
      <c r="J258" s="1272"/>
    </row>
    <row r="259" spans="2:10" s="1245" customFormat="1">
      <c r="B259" s="1284"/>
      <c r="C259" s="1297" t="s">
        <v>209</v>
      </c>
      <c r="D259" s="1293"/>
      <c r="E259" s="1284"/>
      <c r="F259" s="1267"/>
      <c r="G259" s="1284"/>
      <c r="H259" s="1267"/>
      <c r="I259" s="1312"/>
      <c r="J259" s="1272"/>
    </row>
    <row r="260" spans="2:10" s="1245" customFormat="1">
      <c r="B260" s="1284"/>
      <c r="C260" s="1300"/>
      <c r="D260" s="1293"/>
      <c r="E260" s="1284"/>
      <c r="F260" s="1267"/>
      <c r="G260" s="1284"/>
      <c r="H260" s="1267"/>
      <c r="I260" s="1312"/>
      <c r="J260" s="1272"/>
    </row>
    <row r="261" spans="2:10" s="1245" customFormat="1" ht="30.75" customHeight="1">
      <c r="B261" s="1313" t="s">
        <v>837</v>
      </c>
      <c r="C261" s="1251" t="s">
        <v>983</v>
      </c>
      <c r="D261" s="1251"/>
      <c r="E261" s="1274" t="s">
        <v>866</v>
      </c>
      <c r="F261" s="1251" t="s">
        <v>985</v>
      </c>
      <c r="G261" s="1251" t="s">
        <v>986</v>
      </c>
      <c r="H261" s="1251" t="s">
        <v>235</v>
      </c>
      <c r="I261" s="1295" t="s">
        <v>987</v>
      </c>
      <c r="J261" s="1252" t="s">
        <v>236</v>
      </c>
    </row>
    <row r="262" spans="2:10" s="1245" customFormat="1" ht="18" customHeight="1">
      <c r="B262" s="1249"/>
      <c r="C262" s="1302"/>
      <c r="D262" s="1288"/>
      <c r="E262" s="1273"/>
      <c r="F262" s="1275"/>
      <c r="G262" s="1154"/>
      <c r="H262" s="1289"/>
      <c r="I262" s="1033"/>
      <c r="J262" s="1276"/>
    </row>
    <row r="263" spans="2:10" s="1245" customFormat="1">
      <c r="B263" s="1249">
        <v>1</v>
      </c>
      <c r="C263" s="1302" t="s">
        <v>445</v>
      </c>
      <c r="D263" s="1288"/>
      <c r="E263" s="1248" t="s">
        <v>167</v>
      </c>
      <c r="F263" s="1308">
        <v>700</v>
      </c>
      <c r="G263" s="1154"/>
      <c r="H263" s="1156">
        <v>30</v>
      </c>
      <c r="I263" s="1033"/>
      <c r="J263" s="1142">
        <f>F263*H263</f>
        <v>21000</v>
      </c>
    </row>
    <row r="264" spans="2:10" s="1245" customFormat="1">
      <c r="B264" s="1249">
        <v>2</v>
      </c>
      <c r="C264" s="1302" t="s">
        <v>211</v>
      </c>
      <c r="D264" s="1288"/>
      <c r="E264" s="1248" t="s">
        <v>167</v>
      </c>
      <c r="F264" s="1308">
        <v>1400</v>
      </c>
      <c r="G264" s="1154"/>
      <c r="H264" s="1156">
        <v>30</v>
      </c>
      <c r="I264" s="1033"/>
      <c r="J264" s="1142">
        <f>F264*H264</f>
        <v>42000</v>
      </c>
    </row>
    <row r="265" spans="2:10" s="1245" customFormat="1">
      <c r="B265" s="1155"/>
      <c r="C265" s="1299"/>
      <c r="D265" s="1288"/>
      <c r="E265" s="1154"/>
      <c r="F265" s="1156"/>
      <c r="G265" s="1154"/>
      <c r="H265" s="1156"/>
      <c r="I265" s="1033"/>
      <c r="J265" s="1142"/>
    </row>
    <row r="266" spans="2:10" s="1245" customFormat="1">
      <c r="B266" s="1154"/>
      <c r="C266" s="1316"/>
      <c r="D266" s="1288"/>
      <c r="E266" s="1156"/>
      <c r="F266" s="1156"/>
      <c r="G266" s="1156"/>
      <c r="H266" s="1156"/>
      <c r="I266" s="1258"/>
      <c r="J266" s="1142">
        <f>SUM(J263:J265)</f>
        <v>63000</v>
      </c>
    </row>
    <row r="267" spans="2:10" s="1245" customFormat="1">
      <c r="B267" s="1284"/>
      <c r="C267" s="1300"/>
      <c r="D267" s="1293"/>
      <c r="E267" s="1284"/>
      <c r="F267" s="1267"/>
      <c r="G267" s="1284"/>
      <c r="H267" s="1267"/>
      <c r="I267" s="1312"/>
      <c r="J267" s="1272"/>
    </row>
    <row r="268" spans="2:10" s="1245" customFormat="1">
      <c r="B268" s="1284"/>
      <c r="C268" s="1345" t="s">
        <v>715</v>
      </c>
      <c r="D268" s="1379"/>
      <c r="E268" s="1615" t="s">
        <v>612</v>
      </c>
      <c r="F268" s="1615"/>
      <c r="G268" s="1616"/>
      <c r="H268" s="1616"/>
      <c r="I268" s="1312"/>
      <c r="J268" s="1272"/>
    </row>
    <row r="269" spans="2:10" s="1245" customFormat="1">
      <c r="B269" s="1284"/>
      <c r="C269" s="1300"/>
      <c r="D269" s="1293"/>
      <c r="E269" s="1284"/>
      <c r="F269" s="1267"/>
      <c r="G269" s="1284"/>
      <c r="H269" s="1267"/>
      <c r="I269" s="1312"/>
      <c r="J269" s="1272"/>
    </row>
    <row r="270" spans="2:10" s="1245" customFormat="1">
      <c r="B270" s="1284"/>
      <c r="C270" s="1340" t="s">
        <v>1233</v>
      </c>
      <c r="D270" s="1293"/>
      <c r="E270" s="1284"/>
      <c r="F270" s="1267"/>
      <c r="G270" s="1284"/>
      <c r="H270" s="1267"/>
      <c r="I270" s="1312"/>
      <c r="J270" s="1272"/>
    </row>
    <row r="271" spans="2:10" s="1245" customFormat="1">
      <c r="B271" s="1284"/>
      <c r="C271" s="1297"/>
      <c r="D271" s="1293"/>
      <c r="E271" s="1284"/>
      <c r="F271" s="1267"/>
      <c r="G271" s="1284"/>
      <c r="H271" s="1267"/>
      <c r="I271" s="1312"/>
      <c r="J271" s="1272"/>
    </row>
    <row r="272" spans="2:10" s="1245" customFormat="1">
      <c r="B272" s="1284"/>
      <c r="C272" s="1300"/>
      <c r="D272" s="1293"/>
      <c r="E272" s="1284"/>
      <c r="F272" s="1267"/>
      <c r="G272" s="1284"/>
      <c r="H272" s="1267"/>
      <c r="I272" s="1312"/>
      <c r="J272" s="1272"/>
    </row>
    <row r="273" spans="2:10" s="1245" customFormat="1" ht="30.75" customHeight="1">
      <c r="B273" s="1313" t="s">
        <v>837</v>
      </c>
      <c r="C273" s="1251" t="s">
        <v>983</v>
      </c>
      <c r="D273" s="1251"/>
      <c r="E273" s="1274" t="s">
        <v>866</v>
      </c>
      <c r="F273" s="1251" t="s">
        <v>985</v>
      </c>
      <c r="G273" s="1251" t="s">
        <v>408</v>
      </c>
      <c r="H273" s="1251" t="s">
        <v>235</v>
      </c>
      <c r="I273" s="1295" t="s">
        <v>987</v>
      </c>
      <c r="J273" s="1252" t="s">
        <v>236</v>
      </c>
    </row>
    <row r="274" spans="2:10" s="1245" customFormat="1" ht="18" customHeight="1">
      <c r="B274" s="1249"/>
      <c r="C274" s="1302"/>
      <c r="D274" s="1288"/>
      <c r="E274" s="1273"/>
      <c r="F274" s="1275"/>
      <c r="G274" s="1154"/>
      <c r="H274" s="1289"/>
      <c r="I274" s="1033"/>
      <c r="J274" s="1276"/>
    </row>
    <row r="275" spans="2:10" s="1245" customFormat="1">
      <c r="B275" s="1341">
        <v>1</v>
      </c>
      <c r="C275" s="1342" t="s">
        <v>363</v>
      </c>
      <c r="D275" s="1341" t="s">
        <v>359</v>
      </c>
      <c r="E275" s="1341" t="s">
        <v>232</v>
      </c>
      <c r="F275" s="1380">
        <v>240</v>
      </c>
      <c r="G275" s="1382">
        <v>479.8</v>
      </c>
      <c r="H275" s="1382">
        <v>479.8</v>
      </c>
      <c r="I275" s="1314"/>
      <c r="J275" s="1158">
        <f>F275*H275</f>
        <v>115152</v>
      </c>
    </row>
    <row r="276" spans="2:10" s="1245" customFormat="1">
      <c r="B276" s="1341">
        <v>2</v>
      </c>
      <c r="C276" s="1342" t="s">
        <v>364</v>
      </c>
      <c r="D276" s="1341" t="s">
        <v>360</v>
      </c>
      <c r="E276" s="1341" t="s">
        <v>232</v>
      </c>
      <c r="F276" s="1380">
        <v>60</v>
      </c>
      <c r="G276" s="1383">
        <v>624.78</v>
      </c>
      <c r="H276" s="1382">
        <v>624.78</v>
      </c>
      <c r="I276" s="1314"/>
      <c r="J276" s="1158">
        <f>F276*H276</f>
        <v>37486.799999999996</v>
      </c>
    </row>
    <row r="277" spans="2:10" s="1245" customFormat="1">
      <c r="B277" s="1341">
        <v>3</v>
      </c>
      <c r="C277" s="1342" t="s">
        <v>365</v>
      </c>
      <c r="D277" s="1341" t="s">
        <v>361</v>
      </c>
      <c r="E277" s="1341" t="s">
        <v>232</v>
      </c>
      <c r="F277" s="1380">
        <v>40</v>
      </c>
      <c r="G277" s="1384">
        <v>113.94</v>
      </c>
      <c r="H277" s="1382">
        <v>113.94</v>
      </c>
      <c r="I277" s="1314"/>
      <c r="J277" s="1158">
        <f>F277*H277</f>
        <v>4557.6000000000004</v>
      </c>
    </row>
    <row r="278" spans="2:10" s="1245" customFormat="1">
      <c r="B278" s="1341">
        <v>4</v>
      </c>
      <c r="C278" s="1342" t="s">
        <v>366</v>
      </c>
      <c r="D278" s="1341" t="s">
        <v>362</v>
      </c>
      <c r="E278" s="1341" t="s">
        <v>232</v>
      </c>
      <c r="F278" s="1381">
        <v>40</v>
      </c>
      <c r="G278" s="1382">
        <v>399.6</v>
      </c>
      <c r="H278" s="1382">
        <v>399.6</v>
      </c>
      <c r="I278" s="1314"/>
      <c r="J278" s="1158">
        <f>F278*H278</f>
        <v>15984</v>
      </c>
    </row>
    <row r="279" spans="2:10" s="1245" customFormat="1">
      <c r="B279" s="1341"/>
      <c r="C279" s="1342"/>
      <c r="D279" s="1341"/>
      <c r="E279" s="1341"/>
      <c r="F279" s="1381"/>
      <c r="G279" s="1314"/>
      <c r="H279" s="1385"/>
      <c r="I279" s="1314"/>
      <c r="J279" s="1158"/>
    </row>
    <row r="280" spans="2:10" s="1245" customFormat="1">
      <c r="B280" s="1154"/>
      <c r="C280" s="1316"/>
      <c r="D280" s="1288"/>
      <c r="E280" s="1156"/>
      <c r="F280" s="1156"/>
      <c r="G280" s="1158"/>
      <c r="H280" s="1158"/>
      <c r="I280" s="1142"/>
      <c r="J280" s="1142">
        <f>SUM(J275:J278)</f>
        <v>173180.4</v>
      </c>
    </row>
    <row r="281" spans="2:10" s="1245" customFormat="1">
      <c r="B281" s="1284"/>
      <c r="C281" s="1300"/>
      <c r="D281" s="1293"/>
      <c r="E281" s="1284"/>
      <c r="F281" s="1267"/>
      <c r="G281" s="1284"/>
      <c r="H281" s="1267"/>
      <c r="I281" s="1312"/>
      <c r="J281" s="1272"/>
    </row>
    <row r="282" spans="2:10" s="1245" customFormat="1">
      <c r="B282" s="1284"/>
      <c r="C282" s="1345" t="s">
        <v>715</v>
      </c>
      <c r="D282" s="1379"/>
      <c r="E282" s="1615" t="s">
        <v>612</v>
      </c>
      <c r="F282" s="1615"/>
      <c r="G282" s="1616"/>
      <c r="H282" s="1616"/>
      <c r="I282" s="1312"/>
      <c r="J282" s="1272"/>
    </row>
    <row r="283" spans="2:10" s="1245" customFormat="1">
      <c r="B283" s="1284"/>
      <c r="C283" s="1300"/>
      <c r="D283" s="1293"/>
      <c r="E283" s="1284"/>
      <c r="F283" s="1267"/>
      <c r="G283" s="1284"/>
      <c r="H283" s="1267"/>
      <c r="I283" s="1312"/>
      <c r="J283" s="1272"/>
    </row>
    <row r="284" spans="2:10" s="1245" customFormat="1">
      <c r="B284" s="1284"/>
      <c r="C284" s="1300"/>
      <c r="D284" s="1293"/>
      <c r="E284" s="1284"/>
      <c r="F284" s="1267"/>
      <c r="G284" s="1284"/>
      <c r="H284" s="1267"/>
      <c r="I284" s="1312"/>
      <c r="J284" s="1272"/>
    </row>
    <row r="285" spans="2:10" s="1245" customFormat="1">
      <c r="B285" s="1284"/>
      <c r="C285" s="1247" t="s">
        <v>212</v>
      </c>
      <c r="D285" s="1293"/>
      <c r="E285" s="1284"/>
      <c r="F285" s="1267"/>
      <c r="G285" s="1284"/>
      <c r="H285" s="1267"/>
      <c r="I285" s="1312"/>
      <c r="J285" s="1272"/>
    </row>
    <row r="286" spans="2:10" s="1245" customFormat="1">
      <c r="B286" s="1284"/>
      <c r="C286" s="1247"/>
      <c r="D286" s="1293"/>
      <c r="E286" s="1284"/>
      <c r="F286" s="1267"/>
      <c r="G286" s="1284"/>
      <c r="H286" s="1267"/>
      <c r="I286" s="1312"/>
      <c r="J286" s="1272"/>
    </row>
    <row r="287" spans="2:10" s="1245" customFormat="1" ht="31.5">
      <c r="B287" s="1313" t="s">
        <v>837</v>
      </c>
      <c r="C287" s="1251" t="s">
        <v>983</v>
      </c>
      <c r="D287" s="1251"/>
      <c r="E287" s="1274" t="s">
        <v>866</v>
      </c>
      <c r="F287" s="1251" t="s">
        <v>985</v>
      </c>
      <c r="G287" s="1251" t="s">
        <v>986</v>
      </c>
      <c r="H287" s="1251" t="s">
        <v>235</v>
      </c>
      <c r="I287" s="1295" t="s">
        <v>987</v>
      </c>
      <c r="J287" s="1252" t="s">
        <v>236</v>
      </c>
    </row>
    <row r="288" spans="2:10" s="1245" customFormat="1">
      <c r="B288" s="1313"/>
      <c r="C288" s="1251"/>
      <c r="D288" s="1251"/>
      <c r="E288" s="1274"/>
      <c r="F288" s="1251"/>
      <c r="G288" s="1251"/>
      <c r="H288" s="1251"/>
      <c r="I288" s="1295"/>
      <c r="J288" s="1252"/>
    </row>
    <row r="289" spans="2:10" s="1245" customFormat="1">
      <c r="B289" s="1249">
        <v>1</v>
      </c>
      <c r="C289" s="1302" t="s">
        <v>213</v>
      </c>
      <c r="D289" s="1288"/>
      <c r="E289" s="1248" t="s">
        <v>169</v>
      </c>
      <c r="F289" s="1320">
        <v>30</v>
      </c>
      <c r="G289" s="1319"/>
      <c r="H289" s="1319">
        <v>80</v>
      </c>
      <c r="I289" s="1033"/>
      <c r="J289" s="1142">
        <f>F289*H289</f>
        <v>2400</v>
      </c>
    </row>
    <row r="290" spans="2:10" s="1245" customFormat="1">
      <c r="B290" s="1249">
        <v>2</v>
      </c>
      <c r="C290" s="1302" t="s">
        <v>214</v>
      </c>
      <c r="D290" s="1288"/>
      <c r="E290" s="1248" t="s">
        <v>169</v>
      </c>
      <c r="F290" s="1320">
        <v>40</v>
      </c>
      <c r="G290" s="1319"/>
      <c r="H290" s="1319">
        <v>226</v>
      </c>
      <c r="I290" s="1033"/>
      <c r="J290" s="1142">
        <f t="shared" ref="J290:J307" si="22">F290*H290</f>
        <v>9040</v>
      </c>
    </row>
    <row r="291" spans="2:10" s="1245" customFormat="1">
      <c r="B291" s="1249">
        <v>3</v>
      </c>
      <c r="C291" s="1302" t="s">
        <v>215</v>
      </c>
      <c r="D291" s="1288"/>
      <c r="E291" s="1248" t="s">
        <v>169</v>
      </c>
      <c r="F291" s="1320">
        <v>20</v>
      </c>
      <c r="G291" s="1319"/>
      <c r="H291" s="1319">
        <v>857</v>
      </c>
      <c r="I291" s="1033"/>
      <c r="J291" s="1142">
        <f t="shared" si="22"/>
        <v>17140</v>
      </c>
    </row>
    <row r="292" spans="2:10" s="1245" customFormat="1">
      <c r="B292" s="1249">
        <v>4</v>
      </c>
      <c r="C292" s="1302" t="s">
        <v>216</v>
      </c>
      <c r="D292" s="1288"/>
      <c r="E292" s="1248" t="s">
        <v>169</v>
      </c>
      <c r="F292" s="1320">
        <v>40</v>
      </c>
      <c r="G292" s="1319"/>
      <c r="H292" s="1319">
        <v>114</v>
      </c>
      <c r="I292" s="1033"/>
      <c r="J292" s="1142">
        <f t="shared" si="22"/>
        <v>4560</v>
      </c>
    </row>
    <row r="293" spans="2:10" s="1245" customFormat="1">
      <c r="B293" s="1249">
        <v>5</v>
      </c>
      <c r="C293" s="1302" t="s">
        <v>217</v>
      </c>
      <c r="D293" s="1288"/>
      <c r="E293" s="1248" t="s">
        <v>169</v>
      </c>
      <c r="F293" s="1320">
        <v>15</v>
      </c>
      <c r="G293" s="1319"/>
      <c r="H293" s="1319">
        <v>1150</v>
      </c>
      <c r="I293" s="1033"/>
      <c r="J293" s="1142">
        <f t="shared" si="22"/>
        <v>17250</v>
      </c>
    </row>
    <row r="294" spans="2:10" s="1245" customFormat="1">
      <c r="B294" s="1249">
        <v>6</v>
      </c>
      <c r="C294" s="1302" t="s">
        <v>218</v>
      </c>
      <c r="D294" s="1288"/>
      <c r="E294" s="1248" t="s">
        <v>169</v>
      </c>
      <c r="F294" s="1320">
        <v>20</v>
      </c>
      <c r="G294" s="1319"/>
      <c r="H294" s="1319">
        <v>73</v>
      </c>
      <c r="I294" s="1033"/>
      <c r="J294" s="1142">
        <f t="shared" si="22"/>
        <v>1460</v>
      </c>
    </row>
    <row r="295" spans="2:10" s="1245" customFormat="1">
      <c r="B295" s="1249">
        <v>7</v>
      </c>
      <c r="C295" s="1302" t="s">
        <v>219</v>
      </c>
      <c r="D295" s="1288"/>
      <c r="E295" s="1248" t="s">
        <v>169</v>
      </c>
      <c r="F295" s="1320">
        <v>10</v>
      </c>
      <c r="G295" s="1319"/>
      <c r="H295" s="1319">
        <v>720</v>
      </c>
      <c r="I295" s="1033"/>
      <c r="J295" s="1142">
        <f t="shared" si="22"/>
        <v>7200</v>
      </c>
    </row>
    <row r="296" spans="2:10" s="1245" customFormat="1">
      <c r="B296" s="1249">
        <v>8</v>
      </c>
      <c r="C296" s="1302" t="s">
        <v>220</v>
      </c>
      <c r="D296" s="1288"/>
      <c r="E296" s="1248" t="s">
        <v>169</v>
      </c>
      <c r="F296" s="1320">
        <v>4</v>
      </c>
      <c r="G296" s="1319"/>
      <c r="H296" s="1319">
        <v>2007</v>
      </c>
      <c r="I296" s="1033"/>
      <c r="J296" s="1142">
        <f t="shared" si="22"/>
        <v>8028</v>
      </c>
    </row>
    <row r="297" spans="2:10" s="1348" customFormat="1">
      <c r="B297" s="1400">
        <v>9</v>
      </c>
      <c r="C297" s="1246" t="s">
        <v>221</v>
      </c>
      <c r="D297" s="504"/>
      <c r="E297" s="1022" t="s">
        <v>169</v>
      </c>
      <c r="F297" s="1402">
        <v>30</v>
      </c>
      <c r="G297" s="1401"/>
      <c r="H297" s="1401">
        <v>280</v>
      </c>
      <c r="I297" s="1033"/>
      <c r="J297" s="1142">
        <f t="shared" si="22"/>
        <v>8400</v>
      </c>
    </row>
    <row r="298" spans="2:10" s="1245" customFormat="1">
      <c r="B298" s="1249">
        <v>10</v>
      </c>
      <c r="C298" s="1302" t="s">
        <v>222</v>
      </c>
      <c r="D298" s="1288"/>
      <c r="E298" s="1248" t="s">
        <v>169</v>
      </c>
      <c r="F298" s="1320">
        <v>1</v>
      </c>
      <c r="G298" s="1319"/>
      <c r="H298" s="1319">
        <v>5862</v>
      </c>
      <c r="I298" s="1033"/>
      <c r="J298" s="1142">
        <f t="shared" si="22"/>
        <v>5862</v>
      </c>
    </row>
    <row r="299" spans="2:10" s="1245" customFormat="1">
      <c r="B299" s="1249">
        <v>11</v>
      </c>
      <c r="C299" s="1302" t="s">
        <v>223</v>
      </c>
      <c r="D299" s="1288"/>
      <c r="E299" s="1248" t="s">
        <v>169</v>
      </c>
      <c r="F299" s="1320">
        <v>30</v>
      </c>
      <c r="G299" s="1319"/>
      <c r="H299" s="1319">
        <v>554</v>
      </c>
      <c r="I299" s="1033"/>
      <c r="J299" s="1142">
        <f t="shared" si="22"/>
        <v>16620</v>
      </c>
    </row>
    <row r="300" spans="2:10" s="1245" customFormat="1">
      <c r="B300" s="1249">
        <v>12</v>
      </c>
      <c r="C300" s="1302" t="s">
        <v>224</v>
      </c>
      <c r="D300" s="1288"/>
      <c r="E300" s="1248" t="s">
        <v>232</v>
      </c>
      <c r="F300" s="1320">
        <v>40</v>
      </c>
      <c r="G300" s="1319"/>
      <c r="H300" s="1319">
        <v>305</v>
      </c>
      <c r="I300" s="1033"/>
      <c r="J300" s="1142">
        <f t="shared" si="22"/>
        <v>12200</v>
      </c>
    </row>
    <row r="301" spans="2:10" s="1245" customFormat="1">
      <c r="B301" s="1249">
        <v>13</v>
      </c>
      <c r="C301" s="1302" t="s">
        <v>225</v>
      </c>
      <c r="D301" s="1288"/>
      <c r="E301" s="1248" t="s">
        <v>232</v>
      </c>
      <c r="F301" s="1320">
        <v>10</v>
      </c>
      <c r="G301" s="1319"/>
      <c r="H301" s="1319">
        <v>305</v>
      </c>
      <c r="I301" s="1033"/>
      <c r="J301" s="1142">
        <f t="shared" si="22"/>
        <v>3050</v>
      </c>
    </row>
    <row r="302" spans="2:10" s="1245" customFormat="1">
      <c r="B302" s="1249">
        <v>14</v>
      </c>
      <c r="C302" s="1302" t="s">
        <v>226</v>
      </c>
      <c r="D302" s="1288"/>
      <c r="E302" s="1248" t="s">
        <v>232</v>
      </c>
      <c r="F302" s="1320">
        <v>20</v>
      </c>
      <c r="G302" s="1319"/>
      <c r="H302" s="1319">
        <v>305</v>
      </c>
      <c r="I302" s="1033"/>
      <c r="J302" s="1142">
        <f t="shared" si="22"/>
        <v>6100</v>
      </c>
    </row>
    <row r="303" spans="2:10" s="1245" customFormat="1">
      <c r="B303" s="1249">
        <v>15</v>
      </c>
      <c r="C303" s="1302" t="s">
        <v>227</v>
      </c>
      <c r="D303" s="1288"/>
      <c r="E303" s="1248" t="s">
        <v>169</v>
      </c>
      <c r="F303" s="1320">
        <v>4</v>
      </c>
      <c r="G303" s="1319"/>
      <c r="H303" s="1319">
        <v>1548</v>
      </c>
      <c r="I303" s="1033"/>
      <c r="J303" s="1142">
        <f t="shared" si="22"/>
        <v>6192</v>
      </c>
    </row>
    <row r="304" spans="2:10" s="1245" customFormat="1">
      <c r="B304" s="1249">
        <v>16</v>
      </c>
      <c r="C304" s="1302" t="s">
        <v>228</v>
      </c>
      <c r="D304" s="1288"/>
      <c r="E304" s="1248" t="s">
        <v>169</v>
      </c>
      <c r="F304" s="1320">
        <v>30</v>
      </c>
      <c r="G304" s="1319"/>
      <c r="H304" s="1319">
        <v>253</v>
      </c>
      <c r="I304" s="1033"/>
      <c r="J304" s="1142">
        <f t="shared" si="22"/>
        <v>7590</v>
      </c>
    </row>
    <row r="305" spans="2:10" s="1245" customFormat="1">
      <c r="B305" s="1249">
        <v>17</v>
      </c>
      <c r="C305" s="1302" t="s">
        <v>229</v>
      </c>
      <c r="D305" s="1288"/>
      <c r="E305" s="1248" t="s">
        <v>169</v>
      </c>
      <c r="F305" s="1320">
        <v>20</v>
      </c>
      <c r="G305" s="1319"/>
      <c r="H305" s="1319">
        <v>1050</v>
      </c>
      <c r="I305" s="1033"/>
      <c r="J305" s="1142">
        <f t="shared" si="22"/>
        <v>21000</v>
      </c>
    </row>
    <row r="306" spans="2:10" s="1245" customFormat="1">
      <c r="B306" s="1249">
        <v>18</v>
      </c>
      <c r="C306" s="1302" t="s">
        <v>230</v>
      </c>
      <c r="D306" s="1288"/>
      <c r="E306" s="1248" t="s">
        <v>169</v>
      </c>
      <c r="F306" s="1320">
        <v>2</v>
      </c>
      <c r="G306" s="1319"/>
      <c r="H306" s="1319">
        <v>3542</v>
      </c>
      <c r="I306" s="1033"/>
      <c r="J306" s="1142">
        <f t="shared" si="22"/>
        <v>7084</v>
      </c>
    </row>
    <row r="307" spans="2:10" s="1245" customFormat="1">
      <c r="B307" s="1249">
        <v>19</v>
      </c>
      <c r="C307" s="1302" t="s">
        <v>231</v>
      </c>
      <c r="D307" s="1288"/>
      <c r="E307" s="1248" t="s">
        <v>169</v>
      </c>
      <c r="F307" s="1320">
        <v>5</v>
      </c>
      <c r="G307" s="1319"/>
      <c r="H307" s="1319">
        <v>431</v>
      </c>
      <c r="I307" s="1033"/>
      <c r="J307" s="1142">
        <f t="shared" si="22"/>
        <v>2155</v>
      </c>
    </row>
    <row r="308" spans="2:10" s="1245" customFormat="1">
      <c r="B308" s="1249"/>
      <c r="C308" s="1302"/>
      <c r="D308" s="1288"/>
      <c r="E308" s="1248"/>
      <c r="F308" s="1320"/>
      <c r="G308" s="1319"/>
      <c r="H308" s="1319"/>
      <c r="I308" s="1033"/>
      <c r="J308" s="1142"/>
    </row>
    <row r="309" spans="2:10" s="1245" customFormat="1">
      <c r="B309" s="1154"/>
      <c r="C309" s="1018"/>
      <c r="D309" s="1288"/>
      <c r="E309" s="1154"/>
      <c r="F309" s="1156"/>
      <c r="G309" s="1154"/>
      <c r="H309" s="1156"/>
      <c r="I309" s="1033"/>
      <c r="J309" s="1142">
        <f>SUM(J289:J307)</f>
        <v>163331</v>
      </c>
    </row>
    <row r="310" spans="2:10" s="1245" customFormat="1">
      <c r="B310" s="1284"/>
      <c r="C310" s="1247"/>
      <c r="D310" s="1293"/>
      <c r="E310" s="1284"/>
      <c r="F310" s="1267"/>
      <c r="G310" s="1284"/>
      <c r="H310" s="1267"/>
      <c r="I310" s="1312"/>
      <c r="J310" s="1272"/>
    </row>
    <row r="311" spans="2:10" s="1245" customFormat="1">
      <c r="B311" s="1284"/>
      <c r="C311" s="1345" t="s">
        <v>715</v>
      </c>
      <c r="D311" s="1379"/>
      <c r="E311" s="1615" t="s">
        <v>612</v>
      </c>
      <c r="F311" s="1615"/>
      <c r="G311" s="1616"/>
      <c r="H311" s="1616"/>
      <c r="I311" s="1312"/>
      <c r="J311" s="1272"/>
    </row>
    <row r="312" spans="2:10" s="1245" customFormat="1">
      <c r="B312" s="1284"/>
      <c r="C312" s="1247"/>
      <c r="D312" s="1293"/>
      <c r="E312" s="1284"/>
      <c r="F312" s="1267"/>
      <c r="G312" s="1284"/>
      <c r="H312" s="1267"/>
      <c r="I312" s="1312"/>
      <c r="J312" s="1272"/>
    </row>
    <row r="313" spans="2:10" s="1245" customFormat="1">
      <c r="B313" s="1284"/>
      <c r="C313" s="1247"/>
      <c r="D313" s="1293"/>
      <c r="E313" s="1284"/>
      <c r="F313" s="1267"/>
      <c r="G313" s="1284"/>
      <c r="H313" s="1267"/>
      <c r="I313" s="1312"/>
      <c r="J313" s="1272"/>
    </row>
    <row r="314" spans="2:10" s="1245" customFormat="1">
      <c r="B314" s="1284"/>
      <c r="C314" s="1247"/>
      <c r="D314" s="1293"/>
      <c r="E314" s="1284"/>
      <c r="F314" s="1267"/>
      <c r="G314" s="1284"/>
      <c r="H314" s="1267"/>
      <c r="I314" s="1312"/>
      <c r="J314" s="1272"/>
    </row>
    <row r="315" spans="2:10" s="1245" customFormat="1" ht="31.5">
      <c r="B315" s="1324" t="s">
        <v>1625</v>
      </c>
      <c r="C315" s="1321" t="s">
        <v>210</v>
      </c>
      <c r="D315" s="1288"/>
      <c r="E315" s="1274" t="s">
        <v>866</v>
      </c>
      <c r="F315" s="1251" t="s">
        <v>985</v>
      </c>
      <c r="G315" s="1251" t="s">
        <v>986</v>
      </c>
      <c r="H315" s="1251" t="s">
        <v>235</v>
      </c>
      <c r="I315" s="1295" t="s">
        <v>987</v>
      </c>
      <c r="J315" s="1252" t="s">
        <v>236</v>
      </c>
    </row>
    <row r="316" spans="2:10" s="1245" customFormat="1">
      <c r="B316" s="1324"/>
      <c r="C316" s="1321"/>
      <c r="D316" s="1288"/>
      <c r="E316" s="1154"/>
      <c r="F316" s="1156"/>
      <c r="G316" s="1154"/>
      <c r="H316" s="1156"/>
      <c r="I316" s="1033"/>
      <c r="J316" s="1142"/>
    </row>
    <row r="317" spans="2:10" s="1245" customFormat="1">
      <c r="B317" s="1322">
        <v>1</v>
      </c>
      <c r="C317" s="1323" t="s">
        <v>238</v>
      </c>
      <c r="D317" s="1288"/>
      <c r="E317" s="1326" t="s">
        <v>1049</v>
      </c>
      <c r="F317" s="1330">
        <v>1500</v>
      </c>
      <c r="G317" s="1154"/>
      <c r="H317" s="1314">
        <v>6.6</v>
      </c>
      <c r="I317" s="1033"/>
      <c r="J317" s="1142">
        <f>F317*H317</f>
        <v>9900</v>
      </c>
    </row>
    <row r="318" spans="2:10" s="1245" customFormat="1">
      <c r="B318" s="1322">
        <v>2</v>
      </c>
      <c r="C318" s="1323" t="s">
        <v>239</v>
      </c>
      <c r="D318" s="1288"/>
      <c r="E318" s="1326" t="s">
        <v>1049</v>
      </c>
      <c r="F318" s="1330">
        <v>2000</v>
      </c>
      <c r="G318" s="1154"/>
      <c r="H318" s="1314">
        <v>13</v>
      </c>
      <c r="I318" s="1033"/>
      <c r="J318" s="1142">
        <f t="shared" ref="J318:J381" si="23">F318*H318</f>
        <v>26000</v>
      </c>
    </row>
    <row r="319" spans="2:10" s="1245" customFormat="1">
      <c r="B319" s="1322">
        <v>3</v>
      </c>
      <c r="C319" s="1323" t="s">
        <v>240</v>
      </c>
      <c r="D319" s="1288"/>
      <c r="E319" s="1326" t="s">
        <v>1049</v>
      </c>
      <c r="F319" s="1330">
        <v>600</v>
      </c>
      <c r="G319" s="1154"/>
      <c r="H319" s="1314">
        <v>14</v>
      </c>
      <c r="I319" s="1033"/>
      <c r="J319" s="1142">
        <f t="shared" si="23"/>
        <v>8400</v>
      </c>
    </row>
    <row r="320" spans="2:10" s="1245" customFormat="1">
      <c r="B320" s="1324">
        <v>4</v>
      </c>
      <c r="C320" s="1323" t="s">
        <v>241</v>
      </c>
      <c r="D320" s="1288"/>
      <c r="E320" s="1326" t="s">
        <v>1049</v>
      </c>
      <c r="F320" s="1331">
        <v>400</v>
      </c>
      <c r="G320" s="1154"/>
      <c r="H320" s="1314">
        <v>110</v>
      </c>
      <c r="I320" s="1033"/>
      <c r="J320" s="1142">
        <f t="shared" si="23"/>
        <v>44000</v>
      </c>
    </row>
    <row r="321" spans="2:10" s="1245" customFormat="1">
      <c r="B321" s="1322">
        <v>5</v>
      </c>
      <c r="C321" s="1325" t="s">
        <v>242</v>
      </c>
      <c r="D321" s="1288"/>
      <c r="E321" s="1326" t="s">
        <v>1049</v>
      </c>
      <c r="F321" s="1332">
        <v>1000</v>
      </c>
      <c r="G321" s="1154"/>
      <c r="H321" s="1314">
        <v>19</v>
      </c>
      <c r="I321" s="1033"/>
      <c r="J321" s="1142">
        <f t="shared" si="23"/>
        <v>19000</v>
      </c>
    </row>
    <row r="322" spans="2:10" s="1245" customFormat="1">
      <c r="B322" s="1322">
        <v>6</v>
      </c>
      <c r="C322" s="1325" t="s">
        <v>243</v>
      </c>
      <c r="D322" s="1288"/>
      <c r="E322" s="1326" t="s">
        <v>1049</v>
      </c>
      <c r="F322" s="1332">
        <v>20</v>
      </c>
      <c r="G322" s="1154"/>
      <c r="H322" s="1314">
        <v>106</v>
      </c>
      <c r="I322" s="1033"/>
      <c r="J322" s="1142">
        <f t="shared" si="23"/>
        <v>2120</v>
      </c>
    </row>
    <row r="323" spans="2:10" s="1245" customFormat="1">
      <c r="B323" s="1313">
        <v>7</v>
      </c>
      <c r="C323" s="1325" t="s">
        <v>244</v>
      </c>
      <c r="D323" s="1288"/>
      <c r="E323" s="1324" t="s">
        <v>185</v>
      </c>
      <c r="F323" s="1332">
        <v>10</v>
      </c>
      <c r="G323" s="1154"/>
      <c r="H323" s="1314">
        <v>260</v>
      </c>
      <c r="I323" s="1033"/>
      <c r="J323" s="1142">
        <f t="shared" si="23"/>
        <v>2600</v>
      </c>
    </row>
    <row r="324" spans="2:10" s="1245" customFormat="1">
      <c r="B324" s="1313">
        <v>8</v>
      </c>
      <c r="C324" s="1325" t="s">
        <v>245</v>
      </c>
      <c r="D324" s="1288"/>
      <c r="E324" s="1324" t="s">
        <v>185</v>
      </c>
      <c r="F324" s="1332">
        <v>10</v>
      </c>
      <c r="G324" s="1154"/>
      <c r="H324" s="1314">
        <v>260</v>
      </c>
      <c r="I324" s="1033"/>
      <c r="J324" s="1142">
        <f t="shared" si="23"/>
        <v>2600</v>
      </c>
    </row>
    <row r="325" spans="2:10" s="1245" customFormat="1">
      <c r="B325" s="1313">
        <v>9</v>
      </c>
      <c r="C325" s="1325" t="s">
        <v>246</v>
      </c>
      <c r="D325" s="1288"/>
      <c r="E325" s="1324" t="s">
        <v>185</v>
      </c>
      <c r="F325" s="1332">
        <v>1</v>
      </c>
      <c r="G325" s="1154"/>
      <c r="H325" s="1314">
        <v>260</v>
      </c>
      <c r="I325" s="1033"/>
      <c r="J325" s="1142">
        <f t="shared" si="23"/>
        <v>260</v>
      </c>
    </row>
    <row r="326" spans="2:10" s="1245" customFormat="1">
      <c r="B326" s="1326">
        <v>10</v>
      </c>
      <c r="C326" s="1325" t="s">
        <v>247</v>
      </c>
      <c r="D326" s="1288"/>
      <c r="E326" s="1324" t="s">
        <v>1049</v>
      </c>
      <c r="F326" s="1329">
        <v>3</v>
      </c>
      <c r="G326" s="1154"/>
      <c r="H326" s="1314">
        <v>1550</v>
      </c>
      <c r="I326" s="1033"/>
      <c r="J326" s="1142">
        <f t="shared" si="23"/>
        <v>4650</v>
      </c>
    </row>
    <row r="327" spans="2:10" s="1245" customFormat="1">
      <c r="B327" s="1326">
        <v>11</v>
      </c>
      <c r="C327" s="1325" t="s">
        <v>248</v>
      </c>
      <c r="D327" s="1288"/>
      <c r="E327" s="1324" t="s">
        <v>1049</v>
      </c>
      <c r="F327" s="1329">
        <v>3</v>
      </c>
      <c r="G327" s="1154"/>
      <c r="H327" s="1314">
        <v>2850</v>
      </c>
      <c r="I327" s="1033"/>
      <c r="J327" s="1142">
        <f t="shared" si="23"/>
        <v>8550</v>
      </c>
    </row>
    <row r="328" spans="2:10" s="1245" customFormat="1">
      <c r="B328" s="1326">
        <v>12</v>
      </c>
      <c r="C328" s="1325" t="s">
        <v>249</v>
      </c>
      <c r="D328" s="1288"/>
      <c r="E328" s="1324" t="s">
        <v>1049</v>
      </c>
      <c r="F328" s="1329">
        <v>2</v>
      </c>
      <c r="G328" s="1154"/>
      <c r="H328" s="1314">
        <v>3400</v>
      </c>
      <c r="I328" s="1033"/>
      <c r="J328" s="1142">
        <f t="shared" si="23"/>
        <v>6800</v>
      </c>
    </row>
    <row r="329" spans="2:10" s="1245" customFormat="1">
      <c r="B329" s="1326">
        <v>13</v>
      </c>
      <c r="C329" s="1325" t="s">
        <v>250</v>
      </c>
      <c r="D329" s="1288"/>
      <c r="E329" s="1324" t="s">
        <v>1049</v>
      </c>
      <c r="F329" s="1329">
        <v>3</v>
      </c>
      <c r="G329" s="1154"/>
      <c r="H329" s="1314">
        <v>5200</v>
      </c>
      <c r="I329" s="1033"/>
      <c r="J329" s="1142">
        <f t="shared" si="23"/>
        <v>15600</v>
      </c>
    </row>
    <row r="330" spans="2:10" s="1245" customFormat="1">
      <c r="B330" s="1326">
        <v>14</v>
      </c>
      <c r="C330" s="1325" t="s">
        <v>251</v>
      </c>
      <c r="D330" s="1288"/>
      <c r="E330" s="1324" t="s">
        <v>1049</v>
      </c>
      <c r="F330" s="1329">
        <v>2</v>
      </c>
      <c r="G330" s="1154"/>
      <c r="H330" s="1314">
        <v>1500</v>
      </c>
      <c r="I330" s="1033"/>
      <c r="J330" s="1142">
        <f t="shared" si="23"/>
        <v>3000</v>
      </c>
    </row>
    <row r="331" spans="2:10" s="1245" customFormat="1">
      <c r="B331" s="1326">
        <v>15</v>
      </c>
      <c r="C331" s="1325" t="s">
        <v>252</v>
      </c>
      <c r="D331" s="1288"/>
      <c r="E331" s="1324" t="s">
        <v>1049</v>
      </c>
      <c r="F331" s="1329">
        <v>2</v>
      </c>
      <c r="G331" s="1154"/>
      <c r="H331" s="1314">
        <v>2200</v>
      </c>
      <c r="I331" s="1033"/>
      <c r="J331" s="1142">
        <f t="shared" si="23"/>
        <v>4400</v>
      </c>
    </row>
    <row r="332" spans="2:10" s="1245" customFormat="1">
      <c r="B332" s="1326">
        <v>16</v>
      </c>
      <c r="C332" s="1325" t="s">
        <v>253</v>
      </c>
      <c r="D332" s="1288"/>
      <c r="E332" s="1324" t="s">
        <v>1049</v>
      </c>
      <c r="F332" s="1329">
        <v>1</v>
      </c>
      <c r="G332" s="1154"/>
      <c r="H332" s="1314">
        <v>2850</v>
      </c>
      <c r="I332" s="1033"/>
      <c r="J332" s="1142">
        <f t="shared" si="23"/>
        <v>2850</v>
      </c>
    </row>
    <row r="333" spans="2:10" s="1245" customFormat="1">
      <c r="B333" s="1322">
        <v>17</v>
      </c>
      <c r="C333" s="1325" t="s">
        <v>254</v>
      </c>
      <c r="D333" s="1288"/>
      <c r="E333" s="1324" t="s">
        <v>1049</v>
      </c>
      <c r="F333" s="1332">
        <v>1000</v>
      </c>
      <c r="G333" s="1154"/>
      <c r="H333" s="1314">
        <v>11</v>
      </c>
      <c r="I333" s="1033"/>
      <c r="J333" s="1142">
        <f t="shared" si="23"/>
        <v>11000</v>
      </c>
    </row>
    <row r="334" spans="2:10" s="1245" customFormat="1">
      <c r="B334" s="1313">
        <v>18</v>
      </c>
      <c r="C334" s="1325" t="s">
        <v>255</v>
      </c>
      <c r="D334" s="1288"/>
      <c r="E334" s="1324" t="s">
        <v>1049</v>
      </c>
      <c r="F334" s="1332">
        <v>1000</v>
      </c>
      <c r="G334" s="1154"/>
      <c r="H334" s="1314">
        <v>11</v>
      </c>
      <c r="I334" s="1033"/>
      <c r="J334" s="1142">
        <f t="shared" si="23"/>
        <v>11000</v>
      </c>
    </row>
    <row r="335" spans="2:10" s="1245" customFormat="1">
      <c r="B335" s="1313">
        <v>19</v>
      </c>
      <c r="C335" s="1325" t="s">
        <v>256</v>
      </c>
      <c r="D335" s="1288"/>
      <c r="E335" s="1324" t="s">
        <v>1049</v>
      </c>
      <c r="F335" s="1332">
        <v>500</v>
      </c>
      <c r="G335" s="1154"/>
      <c r="H335" s="1314">
        <v>11</v>
      </c>
      <c r="I335" s="1033"/>
      <c r="J335" s="1142">
        <f t="shared" si="23"/>
        <v>5500</v>
      </c>
    </row>
    <row r="336" spans="2:10" s="1245" customFormat="1">
      <c r="B336" s="1326">
        <v>20</v>
      </c>
      <c r="C336" s="1323" t="s">
        <v>257</v>
      </c>
      <c r="D336" s="1288"/>
      <c r="E336" s="1326" t="s">
        <v>357</v>
      </c>
      <c r="F336" s="1331">
        <v>50</v>
      </c>
      <c r="G336" s="1154"/>
      <c r="H336" s="1314">
        <v>87</v>
      </c>
      <c r="I336" s="1033"/>
      <c r="J336" s="1142">
        <f t="shared" si="23"/>
        <v>4350</v>
      </c>
    </row>
    <row r="337" spans="2:10" s="1245" customFormat="1">
      <c r="B337" s="1326">
        <v>21</v>
      </c>
      <c r="C337" s="1323" t="s">
        <v>258</v>
      </c>
      <c r="D337" s="1288"/>
      <c r="E337" s="1326" t="s">
        <v>1049</v>
      </c>
      <c r="F337" s="1331">
        <v>1800</v>
      </c>
      <c r="G337" s="1154"/>
      <c r="H337" s="1314">
        <v>12</v>
      </c>
      <c r="I337" s="1033"/>
      <c r="J337" s="1142">
        <f t="shared" si="23"/>
        <v>21600</v>
      </c>
    </row>
    <row r="338" spans="2:10" s="1245" customFormat="1">
      <c r="B338" s="1326">
        <v>22</v>
      </c>
      <c r="C338" s="1323" t="s">
        <v>259</v>
      </c>
      <c r="D338" s="1288"/>
      <c r="E338" s="1326" t="s">
        <v>1049</v>
      </c>
      <c r="F338" s="1331">
        <v>1000</v>
      </c>
      <c r="G338" s="1154"/>
      <c r="H338" s="1314">
        <v>21</v>
      </c>
      <c r="I338" s="1033"/>
      <c r="J338" s="1142">
        <f t="shared" si="23"/>
        <v>21000</v>
      </c>
    </row>
    <row r="339" spans="2:10" s="1245" customFormat="1">
      <c r="B339" s="1326">
        <v>23</v>
      </c>
      <c r="C339" s="1325" t="s">
        <v>260</v>
      </c>
      <c r="D339" s="1288"/>
      <c r="E339" s="1324" t="s">
        <v>358</v>
      </c>
      <c r="F339" s="1329">
        <v>2500</v>
      </c>
      <c r="G339" s="1154"/>
      <c r="H339" s="1314">
        <v>12</v>
      </c>
      <c r="I339" s="1033"/>
      <c r="J339" s="1142">
        <f t="shared" si="23"/>
        <v>30000</v>
      </c>
    </row>
    <row r="340" spans="2:10" s="1245" customFormat="1">
      <c r="B340" s="1326">
        <v>24</v>
      </c>
      <c r="C340" s="1325" t="s">
        <v>261</v>
      </c>
      <c r="D340" s="1288"/>
      <c r="E340" s="1324" t="s">
        <v>358</v>
      </c>
      <c r="F340" s="1329">
        <v>3600</v>
      </c>
      <c r="G340" s="1154"/>
      <c r="H340" s="1314">
        <v>12</v>
      </c>
      <c r="I340" s="1033"/>
      <c r="J340" s="1142">
        <f t="shared" si="23"/>
        <v>43200</v>
      </c>
    </row>
    <row r="341" spans="2:10" s="1245" customFormat="1">
      <c r="B341" s="1326">
        <v>25</v>
      </c>
      <c r="C341" s="1325" t="s">
        <v>262</v>
      </c>
      <c r="D341" s="1288"/>
      <c r="E341" s="1324" t="s">
        <v>358</v>
      </c>
      <c r="F341" s="1329">
        <v>1500</v>
      </c>
      <c r="G341" s="1154"/>
      <c r="H341" s="1314">
        <v>12</v>
      </c>
      <c r="I341" s="1033"/>
      <c r="J341" s="1142">
        <f t="shared" si="23"/>
        <v>18000</v>
      </c>
    </row>
    <row r="342" spans="2:10" s="1245" customFormat="1">
      <c r="B342" s="1324">
        <v>26</v>
      </c>
      <c r="C342" s="1325" t="s">
        <v>263</v>
      </c>
      <c r="D342" s="1288"/>
      <c r="E342" s="1324" t="s">
        <v>1049</v>
      </c>
      <c r="F342" s="1329">
        <v>1500</v>
      </c>
      <c r="G342" s="1154"/>
      <c r="H342" s="1314">
        <v>15</v>
      </c>
      <c r="I342" s="1033"/>
      <c r="J342" s="1142">
        <f t="shared" si="23"/>
        <v>22500</v>
      </c>
    </row>
    <row r="343" spans="2:10" s="1245" customFormat="1">
      <c r="B343" s="1324">
        <v>27</v>
      </c>
      <c r="C343" s="1325" t="s">
        <v>264</v>
      </c>
      <c r="D343" s="1288"/>
      <c r="E343" s="1324" t="s">
        <v>1049</v>
      </c>
      <c r="F343" s="1329">
        <v>8000</v>
      </c>
      <c r="G343" s="1154"/>
      <c r="H343" s="1314">
        <v>12</v>
      </c>
      <c r="I343" s="1033"/>
      <c r="J343" s="1142">
        <f t="shared" si="23"/>
        <v>96000</v>
      </c>
    </row>
    <row r="344" spans="2:10" s="1245" customFormat="1">
      <c r="B344" s="1324">
        <v>28</v>
      </c>
      <c r="C344" s="1325" t="s">
        <v>265</v>
      </c>
      <c r="D344" s="1288"/>
      <c r="E344" s="1324" t="s">
        <v>185</v>
      </c>
      <c r="F344" s="1329">
        <v>100</v>
      </c>
      <c r="G344" s="1154"/>
      <c r="H344" s="1314">
        <v>95</v>
      </c>
      <c r="I344" s="1033"/>
      <c r="J344" s="1142">
        <f t="shared" si="23"/>
        <v>9500</v>
      </c>
    </row>
    <row r="345" spans="2:10" s="1245" customFormat="1">
      <c r="B345" s="1324">
        <v>29</v>
      </c>
      <c r="C345" s="1325" t="s">
        <v>266</v>
      </c>
      <c r="D345" s="1288"/>
      <c r="E345" s="1324" t="s">
        <v>185</v>
      </c>
      <c r="F345" s="1329">
        <v>2</v>
      </c>
      <c r="G345" s="1154"/>
      <c r="H345" s="1314">
        <v>1450</v>
      </c>
      <c r="I345" s="1033"/>
      <c r="J345" s="1142">
        <f t="shared" si="23"/>
        <v>2900</v>
      </c>
    </row>
    <row r="346" spans="2:10" s="1245" customFormat="1">
      <c r="B346" s="1324">
        <v>30</v>
      </c>
      <c r="C346" s="1325" t="s">
        <v>267</v>
      </c>
      <c r="D346" s="1288"/>
      <c r="E346" s="1324" t="s">
        <v>1049</v>
      </c>
      <c r="F346" s="1329">
        <v>5</v>
      </c>
      <c r="G346" s="1154"/>
      <c r="H346" s="1314">
        <v>150</v>
      </c>
      <c r="I346" s="1033"/>
      <c r="J346" s="1142">
        <f t="shared" si="23"/>
        <v>750</v>
      </c>
    </row>
    <row r="347" spans="2:10" s="1245" customFormat="1">
      <c r="B347" s="1324">
        <v>31</v>
      </c>
      <c r="C347" s="1325" t="s">
        <v>268</v>
      </c>
      <c r="D347" s="1288"/>
      <c r="E347" s="1324" t="s">
        <v>1049</v>
      </c>
      <c r="F347" s="1329">
        <v>1000</v>
      </c>
      <c r="G347" s="1154"/>
      <c r="H347" s="1314">
        <v>25</v>
      </c>
      <c r="I347" s="1033"/>
      <c r="J347" s="1142">
        <f t="shared" si="23"/>
        <v>25000</v>
      </c>
    </row>
    <row r="348" spans="2:10" s="1245" customFormat="1">
      <c r="B348" s="1324">
        <v>32</v>
      </c>
      <c r="C348" s="1325" t="s">
        <v>269</v>
      </c>
      <c r="D348" s="1288"/>
      <c r="E348" s="1324" t="s">
        <v>1049</v>
      </c>
      <c r="F348" s="1329">
        <v>500</v>
      </c>
      <c r="G348" s="1154"/>
      <c r="H348" s="1314">
        <v>2.85</v>
      </c>
      <c r="I348" s="1033"/>
      <c r="J348" s="1142">
        <f t="shared" si="23"/>
        <v>1425</v>
      </c>
    </row>
    <row r="349" spans="2:10" s="1245" customFormat="1">
      <c r="B349" s="1324">
        <v>33</v>
      </c>
      <c r="C349" s="1325" t="s">
        <v>270</v>
      </c>
      <c r="D349" s="1288"/>
      <c r="E349" s="1324" t="s">
        <v>1049</v>
      </c>
      <c r="F349" s="1329">
        <v>6800</v>
      </c>
      <c r="G349" s="1154"/>
      <c r="H349" s="1314">
        <v>1.75</v>
      </c>
      <c r="I349" s="1033"/>
      <c r="J349" s="1142">
        <f t="shared" si="23"/>
        <v>11900</v>
      </c>
    </row>
    <row r="350" spans="2:10" s="1245" customFormat="1">
      <c r="B350" s="1324">
        <v>34</v>
      </c>
      <c r="C350" s="1325" t="s">
        <v>271</v>
      </c>
      <c r="D350" s="1288"/>
      <c r="E350" s="1324" t="s">
        <v>1049</v>
      </c>
      <c r="F350" s="1329">
        <v>8600</v>
      </c>
      <c r="G350" s="1154"/>
      <c r="H350" s="1314">
        <v>1.95</v>
      </c>
      <c r="I350" s="1033"/>
      <c r="J350" s="1142">
        <f t="shared" si="23"/>
        <v>16770</v>
      </c>
    </row>
    <row r="351" spans="2:10" s="1245" customFormat="1">
      <c r="B351" s="1324">
        <v>35</v>
      </c>
      <c r="C351" s="1325" t="s">
        <v>272</v>
      </c>
      <c r="D351" s="1288"/>
      <c r="E351" s="1324" t="s">
        <v>1049</v>
      </c>
      <c r="F351" s="1329">
        <v>4000</v>
      </c>
      <c r="G351" s="1154"/>
      <c r="H351" s="1314">
        <v>2.95</v>
      </c>
      <c r="I351" s="1033"/>
      <c r="J351" s="1142">
        <f t="shared" si="23"/>
        <v>11800</v>
      </c>
    </row>
    <row r="352" spans="2:10" s="1245" customFormat="1">
      <c r="B352" s="1324">
        <v>36</v>
      </c>
      <c r="C352" s="1325" t="s">
        <v>273</v>
      </c>
      <c r="D352" s="1288"/>
      <c r="E352" s="1324" t="s">
        <v>1049</v>
      </c>
      <c r="F352" s="1329">
        <v>1000</v>
      </c>
      <c r="G352" s="1154"/>
      <c r="H352" s="1314">
        <v>3.95</v>
      </c>
      <c r="I352" s="1033"/>
      <c r="J352" s="1142">
        <f t="shared" si="23"/>
        <v>3950</v>
      </c>
    </row>
    <row r="353" spans="2:10" s="1245" customFormat="1">
      <c r="B353" s="1324">
        <v>37</v>
      </c>
      <c r="C353" s="1325" t="s">
        <v>274</v>
      </c>
      <c r="D353" s="1288"/>
      <c r="E353" s="1324" t="s">
        <v>1049</v>
      </c>
      <c r="F353" s="1329">
        <v>50</v>
      </c>
      <c r="G353" s="1154"/>
      <c r="H353" s="1314">
        <v>32.5</v>
      </c>
      <c r="I353" s="1033"/>
      <c r="J353" s="1142">
        <f t="shared" si="23"/>
        <v>1625</v>
      </c>
    </row>
    <row r="354" spans="2:10" s="1245" customFormat="1">
      <c r="B354" s="1324">
        <v>38</v>
      </c>
      <c r="C354" s="1325" t="s">
        <v>275</v>
      </c>
      <c r="D354" s="1288"/>
      <c r="E354" s="1324" t="s">
        <v>1049</v>
      </c>
      <c r="F354" s="1329">
        <v>10</v>
      </c>
      <c r="G354" s="1154"/>
      <c r="H354" s="1314">
        <v>32</v>
      </c>
      <c r="I354" s="1033"/>
      <c r="J354" s="1142">
        <f t="shared" si="23"/>
        <v>320</v>
      </c>
    </row>
    <row r="355" spans="2:10" s="1245" customFormat="1">
      <c r="B355" s="1324">
        <v>39</v>
      </c>
      <c r="C355" s="1325" t="s">
        <v>276</v>
      </c>
      <c r="D355" s="1288"/>
      <c r="E355" s="1324" t="s">
        <v>1049</v>
      </c>
      <c r="F355" s="1329">
        <v>40</v>
      </c>
      <c r="G355" s="1154"/>
      <c r="H355" s="1314">
        <v>29</v>
      </c>
      <c r="I355" s="1033"/>
      <c r="J355" s="1142">
        <f t="shared" si="23"/>
        <v>1160</v>
      </c>
    </row>
    <row r="356" spans="2:10" s="1245" customFormat="1">
      <c r="B356" s="1324">
        <v>40</v>
      </c>
      <c r="C356" s="1325" t="s">
        <v>277</v>
      </c>
      <c r="D356" s="1288"/>
      <c r="E356" s="1324" t="s">
        <v>1049</v>
      </c>
      <c r="F356" s="1329">
        <v>50</v>
      </c>
      <c r="G356" s="1154"/>
      <c r="H356" s="1314">
        <v>29</v>
      </c>
      <c r="I356" s="1033"/>
      <c r="J356" s="1142">
        <f t="shared" si="23"/>
        <v>1450</v>
      </c>
    </row>
    <row r="357" spans="2:10" s="1245" customFormat="1">
      <c r="B357" s="1324">
        <v>41</v>
      </c>
      <c r="C357" s="1325" t="s">
        <v>278</v>
      </c>
      <c r="D357" s="1288"/>
      <c r="E357" s="1324" t="s">
        <v>1049</v>
      </c>
      <c r="F357" s="1329">
        <v>30</v>
      </c>
      <c r="G357" s="1154"/>
      <c r="H357" s="1314">
        <v>29</v>
      </c>
      <c r="I357" s="1033"/>
      <c r="J357" s="1142">
        <f t="shared" si="23"/>
        <v>870</v>
      </c>
    </row>
    <row r="358" spans="2:10" s="1245" customFormat="1">
      <c r="B358" s="1324">
        <v>42</v>
      </c>
      <c r="C358" s="1325" t="s">
        <v>279</v>
      </c>
      <c r="D358" s="1288"/>
      <c r="E358" s="1324" t="s">
        <v>1049</v>
      </c>
      <c r="F358" s="1329">
        <v>50</v>
      </c>
      <c r="G358" s="1154"/>
      <c r="H358" s="1314">
        <v>20</v>
      </c>
      <c r="I358" s="1033"/>
      <c r="J358" s="1142">
        <f t="shared" si="23"/>
        <v>1000</v>
      </c>
    </row>
    <row r="359" spans="2:10" s="1245" customFormat="1">
      <c r="B359" s="1324">
        <v>43</v>
      </c>
      <c r="C359" s="1325" t="s">
        <v>280</v>
      </c>
      <c r="D359" s="1288"/>
      <c r="E359" s="1324" t="s">
        <v>1049</v>
      </c>
      <c r="F359" s="1329">
        <v>30</v>
      </c>
      <c r="G359" s="1154"/>
      <c r="H359" s="1314">
        <v>28</v>
      </c>
      <c r="I359" s="1033"/>
      <c r="J359" s="1142">
        <f t="shared" si="23"/>
        <v>840</v>
      </c>
    </row>
    <row r="360" spans="2:10" s="1245" customFormat="1">
      <c r="B360" s="1324">
        <v>44</v>
      </c>
      <c r="C360" s="1325" t="s">
        <v>281</v>
      </c>
      <c r="D360" s="1288"/>
      <c r="E360" s="1324" t="s">
        <v>1049</v>
      </c>
      <c r="F360" s="1329">
        <v>30</v>
      </c>
      <c r="G360" s="1154"/>
      <c r="H360" s="1314">
        <v>28</v>
      </c>
      <c r="I360" s="1033"/>
      <c r="J360" s="1142">
        <f t="shared" si="23"/>
        <v>840</v>
      </c>
    </row>
    <row r="361" spans="2:10" s="1245" customFormat="1">
      <c r="B361" s="1324">
        <v>45</v>
      </c>
      <c r="C361" s="1325" t="s">
        <v>282</v>
      </c>
      <c r="D361" s="1288"/>
      <c r="E361" s="1324" t="s">
        <v>1049</v>
      </c>
      <c r="F361" s="1329">
        <v>30</v>
      </c>
      <c r="G361" s="1154"/>
      <c r="H361" s="1314">
        <v>28</v>
      </c>
      <c r="I361" s="1033"/>
      <c r="J361" s="1142">
        <f t="shared" si="23"/>
        <v>840</v>
      </c>
    </row>
    <row r="362" spans="2:10" s="1245" customFormat="1">
      <c r="B362" s="1324">
        <v>46</v>
      </c>
      <c r="C362" s="1327" t="s">
        <v>283</v>
      </c>
      <c r="D362" s="1288"/>
      <c r="E362" s="1324" t="s">
        <v>1049</v>
      </c>
      <c r="F362" s="1329">
        <v>80</v>
      </c>
      <c r="G362" s="1154"/>
      <c r="H362" s="1314">
        <v>85</v>
      </c>
      <c r="I362" s="1033"/>
      <c r="J362" s="1142">
        <f t="shared" si="23"/>
        <v>6800</v>
      </c>
    </row>
    <row r="363" spans="2:10" s="1245" customFormat="1">
      <c r="B363" s="1324">
        <v>47</v>
      </c>
      <c r="C363" s="1327" t="s">
        <v>284</v>
      </c>
      <c r="D363" s="1288"/>
      <c r="E363" s="1324" t="s">
        <v>1049</v>
      </c>
      <c r="F363" s="1329">
        <v>100</v>
      </c>
      <c r="G363" s="1154"/>
      <c r="H363" s="1314">
        <v>85</v>
      </c>
      <c r="I363" s="1033"/>
      <c r="J363" s="1142">
        <f t="shared" si="23"/>
        <v>8500</v>
      </c>
    </row>
    <row r="364" spans="2:10" s="1245" customFormat="1">
      <c r="B364" s="1324">
        <v>48</v>
      </c>
      <c r="C364" s="1327" t="s">
        <v>285</v>
      </c>
      <c r="D364" s="1288"/>
      <c r="E364" s="1324" t="s">
        <v>1049</v>
      </c>
      <c r="F364" s="1329">
        <v>40</v>
      </c>
      <c r="G364" s="1154"/>
      <c r="H364" s="1314">
        <v>85</v>
      </c>
      <c r="I364" s="1033"/>
      <c r="J364" s="1142">
        <f t="shared" si="23"/>
        <v>3400</v>
      </c>
    </row>
    <row r="365" spans="2:10" s="1245" customFormat="1">
      <c r="B365" s="1324">
        <v>49</v>
      </c>
      <c r="C365" s="1325" t="s">
        <v>286</v>
      </c>
      <c r="D365" s="1288"/>
      <c r="E365" s="1324" t="s">
        <v>1049</v>
      </c>
      <c r="F365" s="1329">
        <v>10</v>
      </c>
      <c r="G365" s="1154"/>
      <c r="H365" s="1314">
        <v>75</v>
      </c>
      <c r="I365" s="1033"/>
      <c r="J365" s="1142">
        <f t="shared" si="23"/>
        <v>750</v>
      </c>
    </row>
    <row r="366" spans="2:10" s="1245" customFormat="1" ht="31.5">
      <c r="B366" s="1324">
        <v>50</v>
      </c>
      <c r="C366" s="1327" t="s">
        <v>287</v>
      </c>
      <c r="D366" s="1288"/>
      <c r="E366" s="1324" t="s">
        <v>1049</v>
      </c>
      <c r="F366" s="1329">
        <v>10</v>
      </c>
      <c r="G366" s="1154"/>
      <c r="H366" s="1314">
        <v>1260</v>
      </c>
      <c r="I366" s="1033"/>
      <c r="J366" s="1142">
        <f t="shared" si="23"/>
        <v>12600</v>
      </c>
    </row>
    <row r="367" spans="2:10" s="1245" customFormat="1">
      <c r="B367" s="1324">
        <v>51</v>
      </c>
      <c r="C367" s="1325" t="s">
        <v>288</v>
      </c>
      <c r="D367" s="1288"/>
      <c r="E367" s="1324" t="s">
        <v>1049</v>
      </c>
      <c r="F367" s="1329">
        <v>30</v>
      </c>
      <c r="G367" s="1154"/>
      <c r="H367" s="1314">
        <v>485</v>
      </c>
      <c r="I367" s="1033"/>
      <c r="J367" s="1142">
        <f t="shared" si="23"/>
        <v>14550</v>
      </c>
    </row>
    <row r="368" spans="2:10" s="1245" customFormat="1">
      <c r="B368" s="1324">
        <v>52</v>
      </c>
      <c r="C368" s="1327" t="s">
        <v>289</v>
      </c>
      <c r="D368" s="1288"/>
      <c r="E368" s="1324" t="s">
        <v>1049</v>
      </c>
      <c r="F368" s="1329">
        <v>100</v>
      </c>
      <c r="G368" s="1154"/>
      <c r="H368" s="1314">
        <v>40</v>
      </c>
      <c r="I368" s="1033"/>
      <c r="J368" s="1142">
        <f t="shared" si="23"/>
        <v>4000</v>
      </c>
    </row>
    <row r="369" spans="2:10" s="1245" customFormat="1">
      <c r="B369" s="1324">
        <v>53</v>
      </c>
      <c r="C369" s="1327" t="s">
        <v>290</v>
      </c>
      <c r="D369" s="1288"/>
      <c r="E369" s="1324" t="s">
        <v>1049</v>
      </c>
      <c r="F369" s="1329">
        <v>40</v>
      </c>
      <c r="G369" s="1154"/>
      <c r="H369" s="1314">
        <v>95</v>
      </c>
      <c r="I369" s="1033"/>
      <c r="J369" s="1142">
        <f t="shared" si="23"/>
        <v>3800</v>
      </c>
    </row>
    <row r="370" spans="2:10" s="1339" customFormat="1">
      <c r="B370" s="1333">
        <v>54</v>
      </c>
      <c r="C370" s="1334" t="s">
        <v>291</v>
      </c>
      <c r="D370" s="1335"/>
      <c r="E370" s="1333" t="s">
        <v>1049</v>
      </c>
      <c r="F370" s="1403"/>
      <c r="G370" s="1336"/>
      <c r="H370" s="1337"/>
      <c r="I370" s="1338"/>
      <c r="J370" s="1388">
        <f t="shared" si="23"/>
        <v>0</v>
      </c>
    </row>
    <row r="371" spans="2:10" s="1245" customFormat="1">
      <c r="B371" s="1324">
        <v>55</v>
      </c>
      <c r="C371" s="1325" t="s">
        <v>292</v>
      </c>
      <c r="D371" s="1288"/>
      <c r="E371" s="1324" t="s">
        <v>1049</v>
      </c>
      <c r="F371" s="1329">
        <v>20</v>
      </c>
      <c r="G371" s="1154"/>
      <c r="H371" s="1314">
        <v>117</v>
      </c>
      <c r="I371" s="1033"/>
      <c r="J371" s="1142">
        <f t="shared" si="23"/>
        <v>2340</v>
      </c>
    </row>
    <row r="372" spans="2:10" s="1245" customFormat="1">
      <c r="B372" s="1324">
        <v>56</v>
      </c>
      <c r="C372" s="1325" t="s">
        <v>293</v>
      </c>
      <c r="D372" s="1288"/>
      <c r="E372" s="1324" t="s">
        <v>1049</v>
      </c>
      <c r="F372" s="1329">
        <v>20</v>
      </c>
      <c r="G372" s="1154"/>
      <c r="H372" s="1314">
        <v>100</v>
      </c>
      <c r="I372" s="1033"/>
      <c r="J372" s="1142">
        <f t="shared" si="23"/>
        <v>2000</v>
      </c>
    </row>
    <row r="373" spans="2:10" s="1245" customFormat="1">
      <c r="B373" s="1324">
        <v>57</v>
      </c>
      <c r="C373" s="1325" t="s">
        <v>294</v>
      </c>
      <c r="D373" s="1288"/>
      <c r="E373" s="1324" t="s">
        <v>1049</v>
      </c>
      <c r="F373" s="1329">
        <v>20</v>
      </c>
      <c r="G373" s="1154"/>
      <c r="H373" s="1314">
        <v>75</v>
      </c>
      <c r="I373" s="1033"/>
      <c r="J373" s="1142">
        <f t="shared" si="23"/>
        <v>1500</v>
      </c>
    </row>
    <row r="374" spans="2:10" s="1245" customFormat="1">
      <c r="B374" s="1324">
        <v>58</v>
      </c>
      <c r="C374" s="1325" t="s">
        <v>295</v>
      </c>
      <c r="D374" s="1288"/>
      <c r="E374" s="1324" t="s">
        <v>1049</v>
      </c>
      <c r="F374" s="1329">
        <v>600</v>
      </c>
      <c r="G374" s="1154"/>
      <c r="H374" s="1314">
        <v>70</v>
      </c>
      <c r="I374" s="1033"/>
      <c r="J374" s="1142">
        <f t="shared" si="23"/>
        <v>42000</v>
      </c>
    </row>
    <row r="375" spans="2:10" s="1245" customFormat="1">
      <c r="B375" s="1324">
        <v>59</v>
      </c>
      <c r="C375" s="1325" t="s">
        <v>296</v>
      </c>
      <c r="D375" s="1288"/>
      <c r="E375" s="1324" t="s">
        <v>1049</v>
      </c>
      <c r="F375" s="1329">
        <v>350</v>
      </c>
      <c r="G375" s="1154"/>
      <c r="H375" s="1314">
        <v>170</v>
      </c>
      <c r="I375" s="1033"/>
      <c r="J375" s="1142">
        <f t="shared" si="23"/>
        <v>59500</v>
      </c>
    </row>
    <row r="376" spans="2:10" s="1245" customFormat="1">
      <c r="B376" s="1324">
        <v>60</v>
      </c>
      <c r="C376" s="1327" t="s">
        <v>297</v>
      </c>
      <c r="D376" s="1288"/>
      <c r="E376" s="1324" t="s">
        <v>1049</v>
      </c>
      <c r="F376" s="1329">
        <v>24</v>
      </c>
      <c r="G376" s="1154"/>
      <c r="H376" s="1314">
        <v>40</v>
      </c>
      <c r="I376" s="1033"/>
      <c r="J376" s="1142">
        <f t="shared" si="23"/>
        <v>960</v>
      </c>
    </row>
    <row r="377" spans="2:10" s="1245" customFormat="1">
      <c r="B377" s="1324">
        <v>61</v>
      </c>
      <c r="C377" s="1327" t="s">
        <v>298</v>
      </c>
      <c r="D377" s="1288"/>
      <c r="E377" s="1324" t="s">
        <v>1049</v>
      </c>
      <c r="F377" s="1329">
        <v>240</v>
      </c>
      <c r="G377" s="1154"/>
      <c r="H377" s="1314">
        <v>40</v>
      </c>
      <c r="I377" s="1033"/>
      <c r="J377" s="1142">
        <f t="shared" si="23"/>
        <v>9600</v>
      </c>
    </row>
    <row r="378" spans="2:10" s="1245" customFormat="1">
      <c r="B378" s="1324">
        <v>62</v>
      </c>
      <c r="C378" s="1327" t="s">
        <v>299</v>
      </c>
      <c r="D378" s="1288"/>
      <c r="E378" s="1324" t="s">
        <v>1049</v>
      </c>
      <c r="F378" s="1329">
        <v>240</v>
      </c>
      <c r="G378" s="1154"/>
      <c r="H378" s="1314">
        <v>40</v>
      </c>
      <c r="I378" s="1033"/>
      <c r="J378" s="1142">
        <f t="shared" si="23"/>
        <v>9600</v>
      </c>
    </row>
    <row r="379" spans="2:10" s="1245" customFormat="1">
      <c r="B379" s="1324">
        <v>63</v>
      </c>
      <c r="C379" s="1327" t="s">
        <v>300</v>
      </c>
      <c r="D379" s="1288"/>
      <c r="E379" s="1324" t="s">
        <v>1049</v>
      </c>
      <c r="F379" s="1329">
        <v>240</v>
      </c>
      <c r="G379" s="1154"/>
      <c r="H379" s="1314">
        <v>40</v>
      </c>
      <c r="I379" s="1033"/>
      <c r="J379" s="1142">
        <f t="shared" si="23"/>
        <v>9600</v>
      </c>
    </row>
    <row r="380" spans="2:10" s="1245" customFormat="1">
      <c r="B380" s="1324">
        <v>64</v>
      </c>
      <c r="C380" s="1328" t="s">
        <v>301</v>
      </c>
      <c r="D380" s="1288"/>
      <c r="E380" s="1324" t="s">
        <v>1049</v>
      </c>
      <c r="F380" s="1329">
        <v>10</v>
      </c>
      <c r="G380" s="1154"/>
      <c r="H380" s="1314">
        <v>90</v>
      </c>
      <c r="I380" s="1033"/>
      <c r="J380" s="1142">
        <f t="shared" si="23"/>
        <v>900</v>
      </c>
    </row>
    <row r="381" spans="2:10" s="1245" customFormat="1">
      <c r="B381" s="1324">
        <v>65</v>
      </c>
      <c r="C381" s="1327" t="s">
        <v>302</v>
      </c>
      <c r="D381" s="1288"/>
      <c r="E381" s="1329" t="s">
        <v>185</v>
      </c>
      <c r="F381" s="1329">
        <v>10</v>
      </c>
      <c r="G381" s="1154"/>
      <c r="H381" s="1314">
        <v>295</v>
      </c>
      <c r="I381" s="1033"/>
      <c r="J381" s="1142">
        <f t="shared" si="23"/>
        <v>2950</v>
      </c>
    </row>
    <row r="382" spans="2:10" s="1245" customFormat="1">
      <c r="B382" s="1324">
        <v>66</v>
      </c>
      <c r="C382" s="1327" t="s">
        <v>303</v>
      </c>
      <c r="D382" s="1288"/>
      <c r="E382" s="1329" t="s">
        <v>185</v>
      </c>
      <c r="F382" s="1329">
        <v>10</v>
      </c>
      <c r="G382" s="1154"/>
      <c r="H382" s="1314">
        <v>295</v>
      </c>
      <c r="I382" s="1033"/>
      <c r="J382" s="1142">
        <f t="shared" ref="J382:J436" si="24">F382*H382</f>
        <v>2950</v>
      </c>
    </row>
    <row r="383" spans="2:10" s="1245" customFormat="1">
      <c r="B383" s="1324">
        <v>67</v>
      </c>
      <c r="C383" s="1327" t="s">
        <v>304</v>
      </c>
      <c r="D383" s="1288"/>
      <c r="E383" s="1329" t="s">
        <v>185</v>
      </c>
      <c r="F383" s="1329">
        <v>10</v>
      </c>
      <c r="G383" s="1154"/>
      <c r="H383" s="1314">
        <v>295</v>
      </c>
      <c r="I383" s="1033"/>
      <c r="J383" s="1142">
        <f t="shared" si="24"/>
        <v>2950</v>
      </c>
    </row>
    <row r="384" spans="2:10" s="1245" customFormat="1">
      <c r="B384" s="1324">
        <v>68</v>
      </c>
      <c r="C384" s="1327" t="s">
        <v>446</v>
      </c>
      <c r="D384" s="1288"/>
      <c r="E384" s="1329" t="s">
        <v>185</v>
      </c>
      <c r="F384" s="1329">
        <v>10</v>
      </c>
      <c r="G384" s="1154"/>
      <c r="H384" s="1314">
        <v>295</v>
      </c>
      <c r="I384" s="1033"/>
      <c r="J384" s="1142">
        <f t="shared" si="24"/>
        <v>2950</v>
      </c>
    </row>
    <row r="385" spans="2:10" s="1245" customFormat="1">
      <c r="B385" s="1324">
        <v>69</v>
      </c>
      <c r="C385" s="1325" t="s">
        <v>305</v>
      </c>
      <c r="D385" s="1288"/>
      <c r="E385" s="1324" t="s">
        <v>1049</v>
      </c>
      <c r="F385" s="1329">
        <v>50</v>
      </c>
      <c r="G385" s="1154"/>
      <c r="H385" s="1314">
        <v>50</v>
      </c>
      <c r="I385" s="1033"/>
      <c r="J385" s="1142">
        <f t="shared" si="24"/>
        <v>2500</v>
      </c>
    </row>
    <row r="386" spans="2:10" s="1245" customFormat="1">
      <c r="B386" s="1324">
        <v>70</v>
      </c>
      <c r="C386" s="1325" t="s">
        <v>306</v>
      </c>
      <c r="D386" s="1288"/>
      <c r="E386" s="1324" t="s">
        <v>1049</v>
      </c>
      <c r="F386" s="1329">
        <v>50</v>
      </c>
      <c r="G386" s="1154"/>
      <c r="H386" s="1314">
        <v>50</v>
      </c>
      <c r="I386" s="1033"/>
      <c r="J386" s="1142">
        <f t="shared" si="24"/>
        <v>2500</v>
      </c>
    </row>
    <row r="387" spans="2:10" s="1245" customFormat="1">
      <c r="B387" s="1324">
        <v>71</v>
      </c>
      <c r="C387" s="1325" t="s">
        <v>307</v>
      </c>
      <c r="D387" s="1288"/>
      <c r="E387" s="1324" t="s">
        <v>1049</v>
      </c>
      <c r="F387" s="1329">
        <v>150</v>
      </c>
      <c r="G387" s="1154"/>
      <c r="H387" s="1314">
        <v>50</v>
      </c>
      <c r="I387" s="1033"/>
      <c r="J387" s="1142">
        <f t="shared" si="24"/>
        <v>7500</v>
      </c>
    </row>
    <row r="388" spans="2:10" s="1245" customFormat="1">
      <c r="B388" s="1324">
        <v>72</v>
      </c>
      <c r="C388" s="1327" t="s">
        <v>308</v>
      </c>
      <c r="D388" s="1288"/>
      <c r="E388" s="1329" t="s">
        <v>1049</v>
      </c>
      <c r="F388" s="1329">
        <v>50</v>
      </c>
      <c r="G388" s="1154"/>
      <c r="H388" s="1314">
        <v>80</v>
      </c>
      <c r="I388" s="1033"/>
      <c r="J388" s="1142">
        <f t="shared" si="24"/>
        <v>4000</v>
      </c>
    </row>
    <row r="389" spans="2:10" s="1245" customFormat="1">
      <c r="B389" s="1324">
        <v>73</v>
      </c>
      <c r="C389" s="1327" t="s">
        <v>309</v>
      </c>
      <c r="D389" s="1288"/>
      <c r="E389" s="1329" t="s">
        <v>1049</v>
      </c>
      <c r="F389" s="1329">
        <v>100</v>
      </c>
      <c r="G389" s="1154"/>
      <c r="H389" s="1314">
        <v>75</v>
      </c>
      <c r="I389" s="1033"/>
      <c r="J389" s="1142">
        <f t="shared" si="24"/>
        <v>7500</v>
      </c>
    </row>
    <row r="390" spans="2:10" s="1245" customFormat="1">
      <c r="B390" s="1324">
        <v>74</v>
      </c>
      <c r="C390" s="1327" t="s">
        <v>310</v>
      </c>
      <c r="D390" s="1288"/>
      <c r="E390" s="1329" t="s">
        <v>1049</v>
      </c>
      <c r="F390" s="1329">
        <v>100</v>
      </c>
      <c r="G390" s="1154"/>
      <c r="H390" s="1314">
        <v>75</v>
      </c>
      <c r="I390" s="1033"/>
      <c r="J390" s="1142">
        <f t="shared" si="24"/>
        <v>7500</v>
      </c>
    </row>
    <row r="391" spans="2:10" s="1245" customFormat="1">
      <c r="B391" s="1324">
        <v>75</v>
      </c>
      <c r="C391" s="1325" t="s">
        <v>311</v>
      </c>
      <c r="D391" s="1288"/>
      <c r="E391" s="1324" t="s">
        <v>1049</v>
      </c>
      <c r="F391" s="1329">
        <v>200</v>
      </c>
      <c r="G391" s="1154"/>
      <c r="H391" s="1314">
        <v>5</v>
      </c>
      <c r="I391" s="1033"/>
      <c r="J391" s="1142">
        <f t="shared" si="24"/>
        <v>1000</v>
      </c>
    </row>
    <row r="392" spans="2:10" s="1245" customFormat="1">
      <c r="B392" s="1324">
        <v>76</v>
      </c>
      <c r="C392" s="1327" t="s">
        <v>312</v>
      </c>
      <c r="D392" s="1288"/>
      <c r="E392" s="1324" t="s">
        <v>1049</v>
      </c>
      <c r="F392" s="1329">
        <v>3</v>
      </c>
      <c r="G392" s="1154"/>
      <c r="H392" s="1314">
        <v>400</v>
      </c>
      <c r="I392" s="1033"/>
      <c r="J392" s="1142">
        <f t="shared" si="24"/>
        <v>1200</v>
      </c>
    </row>
    <row r="393" spans="2:10" s="1245" customFormat="1">
      <c r="B393" s="1324">
        <v>77</v>
      </c>
      <c r="C393" s="1325" t="s">
        <v>313</v>
      </c>
      <c r="D393" s="1288"/>
      <c r="E393" s="1324" t="s">
        <v>1049</v>
      </c>
      <c r="F393" s="1329">
        <v>200</v>
      </c>
      <c r="G393" s="1154"/>
      <c r="H393" s="1314">
        <v>10</v>
      </c>
      <c r="I393" s="1033"/>
      <c r="J393" s="1142">
        <f t="shared" si="24"/>
        <v>2000</v>
      </c>
    </row>
    <row r="394" spans="2:10" s="1245" customFormat="1">
      <c r="B394" s="1324">
        <v>78</v>
      </c>
      <c r="C394" s="1325" t="s">
        <v>314</v>
      </c>
      <c r="D394" s="1288"/>
      <c r="E394" s="1324" t="s">
        <v>1049</v>
      </c>
      <c r="F394" s="1329">
        <v>200</v>
      </c>
      <c r="G394" s="1154"/>
      <c r="H394" s="1314">
        <v>420</v>
      </c>
      <c r="I394" s="1033"/>
      <c r="J394" s="1142">
        <f t="shared" si="24"/>
        <v>84000</v>
      </c>
    </row>
    <row r="395" spans="2:10" s="1245" customFormat="1">
      <c r="B395" s="1324">
        <v>79</v>
      </c>
      <c r="C395" s="1325" t="s">
        <v>315</v>
      </c>
      <c r="D395" s="1288"/>
      <c r="E395" s="1324" t="s">
        <v>1049</v>
      </c>
      <c r="F395" s="1329">
        <v>70</v>
      </c>
      <c r="G395" s="1154"/>
      <c r="H395" s="1314">
        <v>700</v>
      </c>
      <c r="I395" s="1033"/>
      <c r="J395" s="1142">
        <f t="shared" si="24"/>
        <v>49000</v>
      </c>
    </row>
    <row r="396" spans="2:10" s="1245" customFormat="1">
      <c r="B396" s="1324">
        <v>80</v>
      </c>
      <c r="C396" s="1325" t="s">
        <v>316</v>
      </c>
      <c r="D396" s="1288"/>
      <c r="E396" s="1324" t="s">
        <v>1049</v>
      </c>
      <c r="F396" s="1329">
        <v>1500</v>
      </c>
      <c r="G396" s="1154"/>
      <c r="H396" s="1314">
        <v>50</v>
      </c>
      <c r="I396" s="1033"/>
      <c r="J396" s="1142">
        <f t="shared" si="24"/>
        <v>75000</v>
      </c>
    </row>
    <row r="397" spans="2:10" s="1245" customFormat="1">
      <c r="B397" s="1324">
        <v>81</v>
      </c>
      <c r="C397" s="1325" t="s">
        <v>317</v>
      </c>
      <c r="D397" s="1288"/>
      <c r="E397" s="1324" t="s">
        <v>1049</v>
      </c>
      <c r="F397" s="1329">
        <v>1500</v>
      </c>
      <c r="G397" s="1154"/>
      <c r="H397" s="1314">
        <v>6</v>
      </c>
      <c r="I397" s="1033"/>
      <c r="J397" s="1142">
        <f t="shared" si="24"/>
        <v>9000</v>
      </c>
    </row>
    <row r="398" spans="2:10" s="1245" customFormat="1">
      <c r="B398" s="1324">
        <v>82</v>
      </c>
      <c r="C398" s="1327" t="s">
        <v>318</v>
      </c>
      <c r="D398" s="1288"/>
      <c r="E398" s="1329" t="s">
        <v>1049</v>
      </c>
      <c r="F398" s="1329">
        <v>5</v>
      </c>
      <c r="G398" s="1154"/>
      <c r="H398" s="1314">
        <v>16</v>
      </c>
      <c r="I398" s="1033"/>
      <c r="J398" s="1142">
        <f t="shared" si="24"/>
        <v>80</v>
      </c>
    </row>
    <row r="399" spans="2:10" s="1245" customFormat="1">
      <c r="B399" s="1324">
        <v>83</v>
      </c>
      <c r="C399" s="1327" t="s">
        <v>319</v>
      </c>
      <c r="D399" s="1288"/>
      <c r="E399" s="1329" t="s">
        <v>1049</v>
      </c>
      <c r="F399" s="1329">
        <v>10</v>
      </c>
      <c r="G399" s="1154"/>
      <c r="H399" s="1314">
        <v>16</v>
      </c>
      <c r="I399" s="1033"/>
      <c r="J399" s="1142">
        <f t="shared" si="24"/>
        <v>160</v>
      </c>
    </row>
    <row r="400" spans="2:10" s="1245" customFormat="1">
      <c r="B400" s="1324">
        <v>84</v>
      </c>
      <c r="C400" s="1325" t="s">
        <v>320</v>
      </c>
      <c r="D400" s="1288"/>
      <c r="E400" s="1324" t="s">
        <v>1049</v>
      </c>
      <c r="F400" s="1329">
        <v>500</v>
      </c>
      <c r="G400" s="1154"/>
      <c r="H400" s="1314">
        <v>22</v>
      </c>
      <c r="I400" s="1033"/>
      <c r="J400" s="1142">
        <f t="shared" si="24"/>
        <v>11000</v>
      </c>
    </row>
    <row r="401" spans="2:10" s="1245" customFormat="1">
      <c r="B401" s="1324">
        <v>85</v>
      </c>
      <c r="C401" s="1325" t="s">
        <v>321</v>
      </c>
      <c r="D401" s="1288"/>
      <c r="E401" s="1324" t="s">
        <v>1049</v>
      </c>
      <c r="F401" s="1329">
        <v>200</v>
      </c>
      <c r="G401" s="1154"/>
      <c r="H401" s="1314">
        <v>7</v>
      </c>
      <c r="I401" s="1033"/>
      <c r="J401" s="1142">
        <f t="shared" si="24"/>
        <v>1400</v>
      </c>
    </row>
    <row r="402" spans="2:10" s="1245" customFormat="1">
      <c r="B402" s="1324">
        <v>86</v>
      </c>
      <c r="C402" s="1325" t="s">
        <v>322</v>
      </c>
      <c r="D402" s="1288"/>
      <c r="E402" s="1324" t="s">
        <v>1049</v>
      </c>
      <c r="F402" s="1329">
        <v>500</v>
      </c>
      <c r="G402" s="1154"/>
      <c r="H402" s="1314">
        <v>50</v>
      </c>
      <c r="I402" s="1033"/>
      <c r="J402" s="1142">
        <f t="shared" si="24"/>
        <v>25000</v>
      </c>
    </row>
    <row r="403" spans="2:10" s="1245" customFormat="1">
      <c r="B403" s="1324">
        <v>87</v>
      </c>
      <c r="C403" s="1325" t="s">
        <v>323</v>
      </c>
      <c r="D403" s="1288"/>
      <c r="E403" s="1324" t="s">
        <v>1049</v>
      </c>
      <c r="F403" s="1329">
        <v>500</v>
      </c>
      <c r="G403" s="1154"/>
      <c r="H403" s="1314">
        <v>100</v>
      </c>
      <c r="I403" s="1033"/>
      <c r="J403" s="1142">
        <f t="shared" si="24"/>
        <v>50000</v>
      </c>
    </row>
    <row r="404" spans="2:10" s="1245" customFormat="1">
      <c r="B404" s="1324">
        <v>88</v>
      </c>
      <c r="C404" s="1325" t="s">
        <v>324</v>
      </c>
      <c r="D404" s="1288"/>
      <c r="E404" s="1324" t="s">
        <v>1049</v>
      </c>
      <c r="F404" s="1329">
        <v>500</v>
      </c>
      <c r="G404" s="1154"/>
      <c r="H404" s="1314">
        <v>90</v>
      </c>
      <c r="I404" s="1033"/>
      <c r="J404" s="1142">
        <f t="shared" si="24"/>
        <v>45000</v>
      </c>
    </row>
    <row r="405" spans="2:10" s="1245" customFormat="1">
      <c r="B405" s="1324">
        <v>89</v>
      </c>
      <c r="C405" s="1325" t="s">
        <v>325</v>
      </c>
      <c r="D405" s="1288"/>
      <c r="E405" s="1324" t="s">
        <v>1049</v>
      </c>
      <c r="F405" s="1329">
        <v>500</v>
      </c>
      <c r="G405" s="1154"/>
      <c r="H405" s="1314">
        <v>90</v>
      </c>
      <c r="I405" s="1033"/>
      <c r="J405" s="1142">
        <f t="shared" si="24"/>
        <v>45000</v>
      </c>
    </row>
    <row r="406" spans="2:10" s="1245" customFormat="1">
      <c r="B406" s="1324">
        <v>90</v>
      </c>
      <c r="C406" s="1325" t="s">
        <v>326</v>
      </c>
      <c r="D406" s="1288"/>
      <c r="E406" s="1324" t="s">
        <v>1049</v>
      </c>
      <c r="F406" s="1329">
        <v>500</v>
      </c>
      <c r="G406" s="1154"/>
      <c r="H406" s="1314">
        <v>90</v>
      </c>
      <c r="I406" s="1033"/>
      <c r="J406" s="1142">
        <f t="shared" si="24"/>
        <v>45000</v>
      </c>
    </row>
    <row r="407" spans="2:10" s="1245" customFormat="1">
      <c r="B407" s="1324">
        <v>91</v>
      </c>
      <c r="C407" s="1325" t="s">
        <v>327</v>
      </c>
      <c r="D407" s="1288"/>
      <c r="E407" s="1324" t="s">
        <v>1049</v>
      </c>
      <c r="F407" s="1329">
        <v>300</v>
      </c>
      <c r="G407" s="1154"/>
      <c r="H407" s="1314">
        <v>85</v>
      </c>
      <c r="I407" s="1033"/>
      <c r="J407" s="1142">
        <f t="shared" si="24"/>
        <v>25500</v>
      </c>
    </row>
    <row r="408" spans="2:10" s="1245" customFormat="1">
      <c r="B408" s="1324">
        <v>92</v>
      </c>
      <c r="C408" s="1325" t="s">
        <v>328</v>
      </c>
      <c r="D408" s="1288"/>
      <c r="E408" s="1324" t="s">
        <v>1049</v>
      </c>
      <c r="F408" s="1329">
        <v>100</v>
      </c>
      <c r="G408" s="1154"/>
      <c r="H408" s="1314">
        <v>120</v>
      </c>
      <c r="I408" s="1033"/>
      <c r="J408" s="1142">
        <f t="shared" si="24"/>
        <v>12000</v>
      </c>
    </row>
    <row r="409" spans="2:10" s="1245" customFormat="1">
      <c r="B409" s="1324">
        <v>93</v>
      </c>
      <c r="C409" s="1325" t="s">
        <v>329</v>
      </c>
      <c r="D409" s="1288"/>
      <c r="E409" s="1324" t="s">
        <v>1049</v>
      </c>
      <c r="F409" s="1329">
        <v>2000</v>
      </c>
      <c r="G409" s="1154"/>
      <c r="H409" s="1314">
        <v>1.5</v>
      </c>
      <c r="I409" s="1033"/>
      <c r="J409" s="1142">
        <f t="shared" si="24"/>
        <v>3000</v>
      </c>
    </row>
    <row r="410" spans="2:10" s="1245" customFormat="1">
      <c r="B410" s="1324">
        <v>94</v>
      </c>
      <c r="C410" s="1325" t="s">
        <v>330</v>
      </c>
      <c r="D410" s="1288"/>
      <c r="E410" s="1324" t="s">
        <v>358</v>
      </c>
      <c r="F410" s="1329">
        <v>1000</v>
      </c>
      <c r="G410" s="1154"/>
      <c r="H410" s="1314">
        <v>1.5</v>
      </c>
      <c r="I410" s="1033"/>
      <c r="J410" s="1142">
        <f t="shared" si="24"/>
        <v>1500</v>
      </c>
    </row>
    <row r="411" spans="2:10" s="1245" customFormat="1">
      <c r="B411" s="1324">
        <v>95</v>
      </c>
      <c r="C411" s="1325" t="s">
        <v>331</v>
      </c>
      <c r="D411" s="1288"/>
      <c r="E411" s="1324" t="s">
        <v>185</v>
      </c>
      <c r="F411" s="1329">
        <v>10</v>
      </c>
      <c r="G411" s="1154"/>
      <c r="H411" s="1314">
        <v>400</v>
      </c>
      <c r="I411" s="1033"/>
      <c r="J411" s="1142">
        <f t="shared" si="24"/>
        <v>4000</v>
      </c>
    </row>
    <row r="412" spans="2:10" s="1245" customFormat="1">
      <c r="B412" s="1324">
        <v>96</v>
      </c>
      <c r="C412" s="1325" t="s">
        <v>332</v>
      </c>
      <c r="D412" s="1288"/>
      <c r="E412" s="1324" t="s">
        <v>185</v>
      </c>
      <c r="F412" s="1329">
        <v>10</v>
      </c>
      <c r="G412" s="1154"/>
      <c r="H412" s="1314">
        <v>300</v>
      </c>
      <c r="I412" s="1033"/>
      <c r="J412" s="1142">
        <f t="shared" si="24"/>
        <v>3000</v>
      </c>
    </row>
    <row r="413" spans="2:10" s="1245" customFormat="1">
      <c r="B413" s="1324">
        <v>97</v>
      </c>
      <c r="C413" s="1325" t="s">
        <v>333</v>
      </c>
      <c r="D413" s="1288"/>
      <c r="E413" s="1324" t="s">
        <v>185</v>
      </c>
      <c r="F413" s="1329"/>
      <c r="G413" s="1154"/>
      <c r="H413" s="1314">
        <v>450</v>
      </c>
      <c r="I413" s="1033"/>
      <c r="J413" s="1142">
        <f t="shared" si="24"/>
        <v>0</v>
      </c>
    </row>
    <row r="414" spans="2:10" s="1245" customFormat="1">
      <c r="B414" s="1324">
        <v>98</v>
      </c>
      <c r="C414" s="1325" t="s">
        <v>334</v>
      </c>
      <c r="D414" s="1288"/>
      <c r="E414" s="1324" t="s">
        <v>1049</v>
      </c>
      <c r="F414" s="1329">
        <v>400</v>
      </c>
      <c r="G414" s="1154"/>
      <c r="H414" s="1314">
        <v>20</v>
      </c>
      <c r="I414" s="1033"/>
      <c r="J414" s="1142">
        <f t="shared" si="24"/>
        <v>8000</v>
      </c>
    </row>
    <row r="415" spans="2:10" s="1245" customFormat="1">
      <c r="B415" s="1324">
        <v>99</v>
      </c>
      <c r="C415" s="1325" t="s">
        <v>335</v>
      </c>
      <c r="D415" s="1288"/>
      <c r="E415" s="1324" t="s">
        <v>1049</v>
      </c>
      <c r="F415" s="1329">
        <v>400</v>
      </c>
      <c r="G415" s="1154"/>
      <c r="H415" s="1314">
        <v>30</v>
      </c>
      <c r="I415" s="1033"/>
      <c r="J415" s="1142">
        <f t="shared" si="24"/>
        <v>12000</v>
      </c>
    </row>
    <row r="416" spans="2:10" s="1245" customFormat="1">
      <c r="B416" s="1324">
        <v>100</v>
      </c>
      <c r="C416" s="1325" t="s">
        <v>336</v>
      </c>
      <c r="D416" s="1288"/>
      <c r="E416" s="1324" t="s">
        <v>1049</v>
      </c>
      <c r="F416" s="1329">
        <v>400</v>
      </c>
      <c r="G416" s="1154"/>
      <c r="H416" s="1314">
        <v>39</v>
      </c>
      <c r="I416" s="1033"/>
      <c r="J416" s="1142">
        <f t="shared" si="24"/>
        <v>15600</v>
      </c>
    </row>
    <row r="417" spans="2:10" s="1245" customFormat="1">
      <c r="B417" s="1324">
        <v>101</v>
      </c>
      <c r="C417" s="1325" t="s">
        <v>337</v>
      </c>
      <c r="D417" s="1288"/>
      <c r="E417" s="1324" t="s">
        <v>1049</v>
      </c>
      <c r="F417" s="1329">
        <v>10</v>
      </c>
      <c r="G417" s="1154"/>
      <c r="H417" s="1314">
        <v>265</v>
      </c>
      <c r="I417" s="1033"/>
      <c r="J417" s="1142">
        <f t="shared" si="24"/>
        <v>2650</v>
      </c>
    </row>
    <row r="418" spans="2:10" s="1245" customFormat="1">
      <c r="B418" s="1324">
        <v>102</v>
      </c>
      <c r="C418" s="1325" t="s">
        <v>338</v>
      </c>
      <c r="D418" s="1288"/>
      <c r="E418" s="1324" t="s">
        <v>1049</v>
      </c>
      <c r="F418" s="1329">
        <v>10</v>
      </c>
      <c r="G418" s="1154"/>
      <c r="H418" s="1314">
        <v>285</v>
      </c>
      <c r="I418" s="1033"/>
      <c r="J418" s="1142">
        <f t="shared" si="24"/>
        <v>2850</v>
      </c>
    </row>
    <row r="419" spans="2:10" s="1339" customFormat="1">
      <c r="B419" s="1333">
        <v>103</v>
      </c>
      <c r="C419" s="1334" t="s">
        <v>339</v>
      </c>
      <c r="D419" s="1335"/>
      <c r="E419" s="1333" t="s">
        <v>1049</v>
      </c>
      <c r="F419" s="1403"/>
      <c r="G419" s="1336"/>
      <c r="H419" s="1337"/>
      <c r="I419" s="1338"/>
      <c r="J419" s="1388">
        <f t="shared" si="24"/>
        <v>0</v>
      </c>
    </row>
    <row r="420" spans="2:10" s="1245" customFormat="1">
      <c r="B420" s="1324">
        <v>104</v>
      </c>
      <c r="C420" s="1327" t="s">
        <v>340</v>
      </c>
      <c r="D420" s="1288"/>
      <c r="E420" s="1324" t="s">
        <v>1049</v>
      </c>
      <c r="F420" s="1329">
        <v>50</v>
      </c>
      <c r="G420" s="1154"/>
      <c r="H420" s="1314">
        <v>650</v>
      </c>
      <c r="I420" s="1033"/>
      <c r="J420" s="1142">
        <f t="shared" si="24"/>
        <v>32500</v>
      </c>
    </row>
    <row r="421" spans="2:10" s="1245" customFormat="1">
      <c r="B421" s="1329">
        <v>105</v>
      </c>
      <c r="C421" s="1327" t="s">
        <v>341</v>
      </c>
      <c r="D421" s="1288"/>
      <c r="E421" s="1329" t="s">
        <v>1049</v>
      </c>
      <c r="F421" s="1329">
        <v>10</v>
      </c>
      <c r="G421" s="1154"/>
      <c r="H421" s="1315">
        <v>60</v>
      </c>
      <c r="I421" s="1033"/>
      <c r="J421" s="1142">
        <f t="shared" si="24"/>
        <v>600</v>
      </c>
    </row>
    <row r="422" spans="2:10" s="1245" customFormat="1">
      <c r="B422" s="1324">
        <v>106</v>
      </c>
      <c r="C422" s="1325" t="s">
        <v>342</v>
      </c>
      <c r="D422" s="1288"/>
      <c r="E422" s="1324" t="s">
        <v>1049</v>
      </c>
      <c r="F422" s="1329">
        <v>100</v>
      </c>
      <c r="G422" s="1154"/>
      <c r="H422" s="1314">
        <v>6.5</v>
      </c>
      <c r="I422" s="1033"/>
      <c r="J422" s="1142">
        <f t="shared" si="24"/>
        <v>650</v>
      </c>
    </row>
    <row r="423" spans="2:10" s="1245" customFormat="1">
      <c r="B423" s="1324">
        <v>107</v>
      </c>
      <c r="C423" s="1325" t="s">
        <v>343</v>
      </c>
      <c r="D423" s="1288"/>
      <c r="E423" s="1324" t="s">
        <v>1049</v>
      </c>
      <c r="F423" s="1329">
        <v>50</v>
      </c>
      <c r="G423" s="1154"/>
      <c r="H423" s="1314">
        <v>19</v>
      </c>
      <c r="I423" s="1033"/>
      <c r="J423" s="1142">
        <f t="shared" si="24"/>
        <v>950</v>
      </c>
    </row>
    <row r="424" spans="2:10" s="1245" customFormat="1">
      <c r="B424" s="1324">
        <v>108</v>
      </c>
      <c r="C424" s="1325" t="s">
        <v>344</v>
      </c>
      <c r="D424" s="1288"/>
      <c r="E424" s="1324" t="s">
        <v>1049</v>
      </c>
      <c r="F424" s="1329">
        <v>5</v>
      </c>
      <c r="G424" s="1154"/>
      <c r="H424" s="1314">
        <v>65</v>
      </c>
      <c r="I424" s="1033"/>
      <c r="J424" s="1142">
        <f t="shared" si="24"/>
        <v>325</v>
      </c>
    </row>
    <row r="425" spans="2:10" s="1245" customFormat="1">
      <c r="B425" s="1324">
        <v>109</v>
      </c>
      <c r="C425" s="1325" t="s">
        <v>345</v>
      </c>
      <c r="D425" s="1288"/>
      <c r="E425" s="1324" t="s">
        <v>185</v>
      </c>
      <c r="F425" s="1329">
        <v>1</v>
      </c>
      <c r="G425" s="1154"/>
      <c r="H425" s="1314">
        <v>210</v>
      </c>
      <c r="I425" s="1033"/>
      <c r="J425" s="1142">
        <f t="shared" si="24"/>
        <v>210</v>
      </c>
    </row>
    <row r="426" spans="2:10" s="1245" customFormat="1">
      <c r="B426" s="1324">
        <v>110</v>
      </c>
      <c r="C426" s="1325" t="s">
        <v>346</v>
      </c>
      <c r="D426" s="1288"/>
      <c r="E426" s="1324" t="s">
        <v>1049</v>
      </c>
      <c r="F426" s="1329">
        <v>20</v>
      </c>
      <c r="G426" s="1154"/>
      <c r="H426" s="1314">
        <v>20</v>
      </c>
      <c r="I426" s="1033"/>
      <c r="J426" s="1142">
        <f t="shared" si="24"/>
        <v>400</v>
      </c>
    </row>
    <row r="427" spans="2:10" s="1245" customFormat="1">
      <c r="B427" s="1324">
        <v>111</v>
      </c>
      <c r="C427" s="1325" t="s">
        <v>347</v>
      </c>
      <c r="D427" s="1288"/>
      <c r="E427" s="1324" t="s">
        <v>1049</v>
      </c>
      <c r="F427" s="1329">
        <v>50</v>
      </c>
      <c r="G427" s="1154"/>
      <c r="H427" s="1314">
        <v>35</v>
      </c>
      <c r="I427" s="1033"/>
      <c r="J427" s="1142">
        <f t="shared" si="24"/>
        <v>1750</v>
      </c>
    </row>
    <row r="428" spans="2:10" s="1245" customFormat="1">
      <c r="B428" s="1324">
        <v>112</v>
      </c>
      <c r="C428" s="1325" t="s">
        <v>348</v>
      </c>
      <c r="D428" s="1288"/>
      <c r="E428" s="1324" t="s">
        <v>1049</v>
      </c>
      <c r="F428" s="1329">
        <v>20</v>
      </c>
      <c r="G428" s="1154"/>
      <c r="H428" s="1314">
        <v>45</v>
      </c>
      <c r="I428" s="1033"/>
      <c r="J428" s="1142">
        <f t="shared" si="24"/>
        <v>900</v>
      </c>
    </row>
    <row r="429" spans="2:10" s="1245" customFormat="1">
      <c r="B429" s="1324">
        <v>113</v>
      </c>
      <c r="C429" s="1325" t="s">
        <v>349</v>
      </c>
      <c r="D429" s="1288"/>
      <c r="E429" s="1324" t="s">
        <v>1049</v>
      </c>
      <c r="F429" s="1329">
        <v>50</v>
      </c>
      <c r="G429" s="1154"/>
      <c r="H429" s="1314">
        <v>45</v>
      </c>
      <c r="I429" s="1033"/>
      <c r="J429" s="1142">
        <f t="shared" si="24"/>
        <v>2250</v>
      </c>
    </row>
    <row r="430" spans="2:10" s="1245" customFormat="1">
      <c r="B430" s="1324">
        <v>114</v>
      </c>
      <c r="C430" s="1325" t="s">
        <v>350</v>
      </c>
      <c r="D430" s="1288"/>
      <c r="E430" s="1324" t="s">
        <v>1049</v>
      </c>
      <c r="F430" s="1329">
        <v>50</v>
      </c>
      <c r="G430" s="1154"/>
      <c r="H430" s="1314">
        <v>45</v>
      </c>
      <c r="I430" s="1033"/>
      <c r="J430" s="1142">
        <f t="shared" si="24"/>
        <v>2250</v>
      </c>
    </row>
    <row r="431" spans="2:10" s="1245" customFormat="1">
      <c r="B431" s="1324">
        <v>115</v>
      </c>
      <c r="C431" s="1325" t="s">
        <v>351</v>
      </c>
      <c r="D431" s="1288"/>
      <c r="E431" s="1324" t="s">
        <v>1049</v>
      </c>
      <c r="F431" s="1329">
        <v>50</v>
      </c>
      <c r="G431" s="1154"/>
      <c r="H431" s="1314">
        <v>45</v>
      </c>
      <c r="I431" s="1033"/>
      <c r="J431" s="1142">
        <f t="shared" si="24"/>
        <v>2250</v>
      </c>
    </row>
    <row r="432" spans="2:10" s="1245" customFormat="1">
      <c r="B432" s="1324">
        <v>116</v>
      </c>
      <c r="C432" s="1325" t="s">
        <v>352</v>
      </c>
      <c r="D432" s="1288"/>
      <c r="E432" s="1324" t="s">
        <v>1049</v>
      </c>
      <c r="F432" s="1329">
        <v>800</v>
      </c>
      <c r="G432" s="1154"/>
      <c r="H432" s="1314">
        <v>33</v>
      </c>
      <c r="I432" s="1033"/>
      <c r="J432" s="1142">
        <f t="shared" si="24"/>
        <v>26400</v>
      </c>
    </row>
    <row r="433" spans="2:10" s="1245" customFormat="1">
      <c r="B433" s="1324">
        <v>117</v>
      </c>
      <c r="C433" s="1325" t="s">
        <v>353</v>
      </c>
      <c r="D433" s="1288"/>
      <c r="E433" s="1324" t="s">
        <v>1049</v>
      </c>
      <c r="F433" s="1329">
        <v>400</v>
      </c>
      <c r="G433" s="1154"/>
      <c r="H433" s="1314">
        <v>47</v>
      </c>
      <c r="I433" s="1033"/>
      <c r="J433" s="1142">
        <f t="shared" si="24"/>
        <v>18800</v>
      </c>
    </row>
    <row r="434" spans="2:10" s="1245" customFormat="1">
      <c r="B434" s="1324">
        <v>118</v>
      </c>
      <c r="C434" s="1325" t="s">
        <v>354</v>
      </c>
      <c r="D434" s="1288"/>
      <c r="E434" s="1324" t="s">
        <v>1049</v>
      </c>
      <c r="F434" s="1329">
        <v>20</v>
      </c>
      <c r="G434" s="1154"/>
      <c r="H434" s="1314">
        <v>35</v>
      </c>
      <c r="I434" s="1033"/>
      <c r="J434" s="1142">
        <f t="shared" si="24"/>
        <v>700</v>
      </c>
    </row>
    <row r="435" spans="2:10" s="1245" customFormat="1">
      <c r="B435" s="1324">
        <v>119</v>
      </c>
      <c r="C435" s="1325" t="s">
        <v>355</v>
      </c>
      <c r="D435" s="1288"/>
      <c r="E435" s="1324" t="s">
        <v>1049</v>
      </c>
      <c r="F435" s="1329">
        <v>20</v>
      </c>
      <c r="G435" s="1154"/>
      <c r="H435" s="1314">
        <v>65</v>
      </c>
      <c r="I435" s="1033"/>
      <c r="J435" s="1142">
        <f t="shared" si="24"/>
        <v>1300</v>
      </c>
    </row>
    <row r="436" spans="2:10" s="1245" customFormat="1">
      <c r="B436" s="1324">
        <v>120</v>
      </c>
      <c r="C436" s="1325" t="s">
        <v>356</v>
      </c>
      <c r="D436" s="1288"/>
      <c r="E436" s="1324" t="s">
        <v>1049</v>
      </c>
      <c r="F436" s="1329">
        <v>2</v>
      </c>
      <c r="G436" s="1154"/>
      <c r="H436" s="1314">
        <v>355</v>
      </c>
      <c r="I436" s="1033"/>
      <c r="J436" s="1142">
        <f t="shared" si="24"/>
        <v>710</v>
      </c>
    </row>
    <row r="437" spans="2:10" s="1245" customFormat="1">
      <c r="B437" s="1324"/>
      <c r="C437" s="1325"/>
      <c r="D437" s="1288"/>
      <c r="E437" s="1324"/>
      <c r="F437" s="1329"/>
      <c r="G437" s="1154"/>
      <c r="H437" s="1314"/>
      <c r="I437" s="1033"/>
      <c r="J437" s="1142"/>
    </row>
    <row r="438" spans="2:10" s="1245" customFormat="1">
      <c r="B438" s="1154"/>
      <c r="C438" s="1250"/>
      <c r="D438" s="1288"/>
      <c r="E438" s="1154"/>
      <c r="F438" s="1156"/>
      <c r="G438" s="1154"/>
      <c r="H438" s="1156"/>
      <c r="I438" s="1033"/>
      <c r="J438" s="1142">
        <f>SUM(J316:J436)</f>
        <v>1400405</v>
      </c>
    </row>
    <row r="439" spans="2:10" s="1245" customFormat="1">
      <c r="B439" s="1284"/>
      <c r="C439" s="1247"/>
      <c r="D439" s="1293"/>
      <c r="E439" s="1284"/>
      <c r="F439" s="1267"/>
      <c r="G439" s="1284"/>
      <c r="H439" s="1267"/>
      <c r="I439" s="1312"/>
      <c r="J439" s="1272"/>
    </row>
    <row r="440" spans="2:10" s="1245" customFormat="1">
      <c r="B440" s="1284"/>
      <c r="C440" s="1345" t="s">
        <v>715</v>
      </c>
      <c r="D440" s="1379"/>
      <c r="E440" s="1615" t="s">
        <v>612</v>
      </c>
      <c r="F440" s="1615"/>
      <c r="G440" s="1616"/>
      <c r="H440" s="1616"/>
      <c r="I440" s="1312"/>
      <c r="J440" s="1272"/>
    </row>
    <row r="441" spans="2:10" s="1245" customFormat="1">
      <c r="B441" s="1284"/>
      <c r="C441" s="1247"/>
      <c r="D441" s="1293"/>
      <c r="E441" s="1284"/>
      <c r="F441" s="1267"/>
      <c r="G441" s="1284"/>
      <c r="H441" s="1267"/>
      <c r="I441" s="1312"/>
      <c r="J441" s="1272"/>
    </row>
    <row r="442" spans="2:10">
      <c r="B442" s="1426"/>
      <c r="C442" s="1427" t="s">
        <v>64</v>
      </c>
      <c r="D442" s="1294"/>
      <c r="E442" s="1426" t="s">
        <v>409</v>
      </c>
      <c r="G442" s="1294"/>
    </row>
    <row r="443" spans="2:10">
      <c r="B443" s="1428"/>
      <c r="C443" s="1429" t="s">
        <v>411</v>
      </c>
      <c r="D443" s="1287"/>
      <c r="E443" s="1428" t="s">
        <v>410</v>
      </c>
      <c r="F443" s="1287"/>
    </row>
    <row r="444" spans="2:10">
      <c r="B444" s="1428"/>
      <c r="C444" s="1429" t="s">
        <v>413</v>
      </c>
      <c r="D444" s="1287"/>
      <c r="E444" s="1428" t="s">
        <v>412</v>
      </c>
      <c r="F444" s="1287"/>
    </row>
    <row r="445" spans="2:10">
      <c r="B445" s="1286"/>
      <c r="C445" s="1286"/>
      <c r="D445" s="1287"/>
      <c r="F445" s="1287"/>
    </row>
    <row r="446" spans="2:10">
      <c r="B446" s="1249" t="s">
        <v>837</v>
      </c>
      <c r="C446" s="1249" t="s">
        <v>414</v>
      </c>
      <c r="D446" s="1249" t="s">
        <v>415</v>
      </c>
      <c r="E446" s="1154"/>
      <c r="F446" s="1249" t="s">
        <v>416</v>
      </c>
      <c r="G446" s="1154"/>
      <c r="H446" s="1249" t="s">
        <v>417</v>
      </c>
      <c r="I446" s="1154"/>
      <c r="J446" s="1249" t="s">
        <v>418</v>
      </c>
    </row>
    <row r="447" spans="2:10">
      <c r="B447" s="1249">
        <v>1</v>
      </c>
      <c r="C447" s="1430" t="s">
        <v>419</v>
      </c>
      <c r="D447" s="1249" t="s">
        <v>185</v>
      </c>
      <c r="E447" s="1154"/>
      <c r="F447" s="1431">
        <v>18</v>
      </c>
      <c r="G447" s="1154"/>
      <c r="H447" s="1319">
        <v>687</v>
      </c>
      <c r="I447" s="1154"/>
      <c r="J447" s="1319">
        <f>F447*H447</f>
        <v>12366</v>
      </c>
    </row>
    <row r="448" spans="2:10">
      <c r="B448" s="1249">
        <f>1+B447</f>
        <v>2</v>
      </c>
      <c r="C448" s="1430" t="s">
        <v>420</v>
      </c>
      <c r="D448" s="1249" t="s">
        <v>185</v>
      </c>
      <c r="E448" s="1154"/>
      <c r="F448" s="1431">
        <v>6</v>
      </c>
      <c r="G448" s="1154"/>
      <c r="H448" s="1319">
        <v>3194</v>
      </c>
      <c r="I448" s="1154"/>
      <c r="J448" s="1319">
        <f>F448*H448</f>
        <v>19164</v>
      </c>
    </row>
    <row r="449" spans="2:10">
      <c r="B449" s="1249">
        <f>1+B448</f>
        <v>3</v>
      </c>
      <c r="C449" s="1430" t="s">
        <v>421</v>
      </c>
      <c r="D449" s="1249" t="s">
        <v>422</v>
      </c>
      <c r="E449" s="1154"/>
      <c r="F449" s="1431">
        <v>6</v>
      </c>
      <c r="G449" s="1154"/>
      <c r="H449" s="1319">
        <v>3300</v>
      </c>
      <c r="I449" s="1154"/>
      <c r="J449" s="1319">
        <f>F449*H449</f>
        <v>19800</v>
      </c>
    </row>
    <row r="450" spans="2:10">
      <c r="B450" s="1249">
        <f>1+B449</f>
        <v>4</v>
      </c>
      <c r="C450" s="1430" t="s">
        <v>423</v>
      </c>
      <c r="D450" s="1249" t="s">
        <v>422</v>
      </c>
      <c r="E450" s="1154"/>
      <c r="F450" s="1431">
        <v>6</v>
      </c>
      <c r="G450" s="1154"/>
      <c r="H450" s="1319">
        <v>8665</v>
      </c>
      <c r="I450" s="1154"/>
      <c r="J450" s="1319">
        <f>F450*H450</f>
        <v>51990</v>
      </c>
    </row>
    <row r="451" spans="2:10">
      <c r="B451" s="1249"/>
      <c r="C451" s="1430"/>
      <c r="D451" s="1249"/>
      <c r="E451" s="1154"/>
      <c r="F451" s="1319"/>
      <c r="G451" s="1154"/>
      <c r="H451" s="1319"/>
      <c r="I451" s="1154"/>
      <c r="J451" s="1432">
        <f>SUM(J447:J450)</f>
        <v>103320</v>
      </c>
    </row>
    <row r="452" spans="2:10">
      <c r="B452" s="1286"/>
      <c r="C452" s="1286"/>
      <c r="D452" s="1287"/>
      <c r="F452" s="1287"/>
    </row>
    <row r="453" spans="2:10" s="1245" customFormat="1">
      <c r="B453" s="1284"/>
      <c r="C453" s="1345" t="s">
        <v>715</v>
      </c>
      <c r="D453" s="1379"/>
      <c r="E453" s="1615" t="s">
        <v>612</v>
      </c>
      <c r="F453" s="1615"/>
      <c r="G453" s="1616"/>
      <c r="H453" s="1616"/>
      <c r="I453" s="1312"/>
      <c r="J453" s="1272"/>
    </row>
    <row r="454" spans="2:10">
      <c r="B454" s="1286"/>
      <c r="C454" s="1286"/>
      <c r="D454" s="1287"/>
      <c r="F454" s="1287"/>
    </row>
    <row r="455" spans="2:10">
      <c r="B455" s="1426"/>
      <c r="C455" s="1427" t="s">
        <v>425</v>
      </c>
      <c r="D455" s="1287"/>
      <c r="E455" s="1426" t="s">
        <v>424</v>
      </c>
      <c r="F455" s="1287"/>
    </row>
    <row r="456" spans="2:10">
      <c r="B456" s="1428"/>
      <c r="C456" s="1429" t="s">
        <v>427</v>
      </c>
      <c r="D456" s="1287"/>
      <c r="E456" s="1428" t="s">
        <v>426</v>
      </c>
      <c r="F456" s="1287"/>
    </row>
    <row r="457" spans="2:10">
      <c r="B457" s="1428"/>
      <c r="C457" s="1429" t="s">
        <v>429</v>
      </c>
      <c r="D457" s="1287"/>
      <c r="E457" s="1428" t="s">
        <v>428</v>
      </c>
      <c r="F457" s="1287"/>
    </row>
    <row r="458" spans="2:10">
      <c r="B458" s="1428"/>
      <c r="C458" s="1429" t="s">
        <v>431</v>
      </c>
      <c r="D458" s="1287"/>
      <c r="E458" s="1428" t="s">
        <v>430</v>
      </c>
      <c r="F458" s="1287"/>
    </row>
    <row r="459" spans="2:10">
      <c r="B459" s="1286"/>
      <c r="C459" s="1286"/>
      <c r="D459" s="1287"/>
      <c r="F459" s="1287"/>
    </row>
    <row r="460" spans="2:10">
      <c r="B460" s="1249" t="s">
        <v>837</v>
      </c>
      <c r="C460" s="1249" t="s">
        <v>414</v>
      </c>
      <c r="D460" s="1249" t="s">
        <v>415</v>
      </c>
      <c r="E460" s="1154"/>
      <c r="F460" s="1249" t="s">
        <v>416</v>
      </c>
      <c r="G460" s="1154"/>
      <c r="H460" s="1249" t="s">
        <v>417</v>
      </c>
      <c r="I460" s="1154"/>
      <c r="J460" s="1249" t="s">
        <v>418</v>
      </c>
    </row>
    <row r="461" spans="2:10">
      <c r="B461" s="1249">
        <v>1</v>
      </c>
      <c r="C461" s="1430" t="s">
        <v>432</v>
      </c>
      <c r="D461" s="1249" t="s">
        <v>1049</v>
      </c>
      <c r="E461" s="1154"/>
      <c r="F461" s="1431">
        <v>16</v>
      </c>
      <c r="G461" s="1154"/>
      <c r="H461" s="1319">
        <v>482</v>
      </c>
      <c r="I461" s="1154"/>
      <c r="J461" s="1319">
        <f>F461*H461</f>
        <v>7712</v>
      </c>
    </row>
    <row r="462" spans="2:10">
      <c r="B462" s="1249">
        <f>1+B461</f>
        <v>2</v>
      </c>
      <c r="C462" s="1430" t="s">
        <v>433</v>
      </c>
      <c r="D462" s="1249" t="s">
        <v>1049</v>
      </c>
      <c r="E462" s="1154"/>
      <c r="F462" s="1431">
        <v>12</v>
      </c>
      <c r="G462" s="1154"/>
      <c r="H462" s="1319">
        <v>306</v>
      </c>
      <c r="I462" s="1154"/>
      <c r="J462" s="1319">
        <f>F462*H462</f>
        <v>3672</v>
      </c>
    </row>
    <row r="463" spans="2:10">
      <c r="B463" s="1249"/>
      <c r="C463" s="1430"/>
      <c r="D463" s="1249"/>
      <c r="E463" s="1154"/>
      <c r="F463" s="1319"/>
      <c r="G463" s="1154"/>
      <c r="H463" s="1319"/>
      <c r="I463" s="1154"/>
      <c r="J463" s="1432">
        <f>SUM(J461:J462)</f>
        <v>11384</v>
      </c>
    </row>
    <row r="464" spans="2:10" s="1245" customFormat="1">
      <c r="B464" s="1284"/>
      <c r="C464" s="1247"/>
      <c r="D464" s="1293"/>
      <c r="E464" s="1284"/>
      <c r="F464" s="1267"/>
      <c r="G464" s="1284"/>
      <c r="H464" s="1267"/>
      <c r="I464" s="1312"/>
      <c r="J464" s="1272"/>
    </row>
    <row r="465" spans="2:10" s="1245" customFormat="1">
      <c r="B465" s="1284"/>
      <c r="C465" s="1345" t="s">
        <v>715</v>
      </c>
      <c r="D465" s="1379"/>
      <c r="E465" s="1615" t="s">
        <v>612</v>
      </c>
      <c r="F465" s="1615"/>
      <c r="G465" s="1616"/>
      <c r="H465" s="1616"/>
      <c r="I465" s="1312"/>
      <c r="J465" s="1272"/>
    </row>
    <row r="466" spans="2:10" s="1245" customFormat="1">
      <c r="B466" s="1284"/>
      <c r="C466" s="1247"/>
      <c r="D466" s="1293"/>
      <c r="E466" s="1284"/>
      <c r="F466" s="1267"/>
      <c r="G466" s="1284"/>
      <c r="H466" s="1267"/>
      <c r="I466" s="1312"/>
      <c r="J466" s="1272"/>
    </row>
    <row r="467" spans="2:10" s="1157" customFormat="1">
      <c r="B467" s="1154"/>
      <c r="C467" s="1303" t="s">
        <v>1945</v>
      </c>
      <c r="D467" s="1155"/>
      <c r="E467" s="1154"/>
      <c r="F467" s="1156"/>
      <c r="G467" s="1154"/>
      <c r="H467" s="1156"/>
      <c r="I467" s="1154"/>
      <c r="J467" s="1158" t="s">
        <v>1997</v>
      </c>
    </row>
    <row r="468" spans="2:10" s="1232" customFormat="1">
      <c r="B468" s="1229"/>
      <c r="C468" s="1304" t="s">
        <v>1560</v>
      </c>
      <c r="D468" s="1159" t="s">
        <v>165</v>
      </c>
      <c r="E468" s="1229"/>
      <c r="F468" s="1211"/>
      <c r="G468" s="1229"/>
      <c r="H468" s="1211"/>
      <c r="I468" s="1229"/>
      <c r="J468" s="1315">
        <f>J139</f>
        <v>1264013.7823000001</v>
      </c>
    </row>
    <row r="469" spans="2:10" s="1232" customFormat="1">
      <c r="B469" s="1229"/>
      <c r="C469" s="1304" t="s">
        <v>1560</v>
      </c>
      <c r="D469" s="1159" t="s">
        <v>165</v>
      </c>
      <c r="E469" s="1229"/>
      <c r="F469" s="1211"/>
      <c r="G469" s="1229"/>
      <c r="H469" s="1211"/>
      <c r="I469" s="1229"/>
      <c r="J469" s="1315">
        <f>J194</f>
        <v>1183688.1600000001</v>
      </c>
    </row>
    <row r="470" spans="2:10" s="1232" customFormat="1">
      <c r="B470" s="1229"/>
      <c r="C470" s="1304" t="s">
        <v>1560</v>
      </c>
      <c r="D470" s="1159" t="s">
        <v>1234</v>
      </c>
      <c r="E470" s="1229"/>
      <c r="F470" s="1211"/>
      <c r="G470" s="1229"/>
      <c r="H470" s="1211"/>
      <c r="I470" s="1229"/>
      <c r="J470" s="1315">
        <f>J254</f>
        <v>103682.99999999999</v>
      </c>
    </row>
    <row r="471" spans="2:10" s="1232" customFormat="1">
      <c r="B471" s="1229"/>
      <c r="C471" s="1304" t="s">
        <v>1560</v>
      </c>
      <c r="D471" s="1159" t="s">
        <v>1233</v>
      </c>
      <c r="E471" s="1229"/>
      <c r="F471" s="1211"/>
      <c r="G471" s="1229"/>
      <c r="H471" s="1211"/>
      <c r="I471" s="1229"/>
      <c r="J471" s="1315">
        <f>J280</f>
        <v>173180.4</v>
      </c>
    </row>
    <row r="472" spans="2:10" s="1232" customFormat="1">
      <c r="B472" s="1229"/>
      <c r="C472" s="1304" t="s">
        <v>1235</v>
      </c>
      <c r="D472" s="1160" t="s">
        <v>1236</v>
      </c>
      <c r="E472" s="1229"/>
      <c r="F472" s="1211"/>
      <c r="G472" s="1229"/>
      <c r="H472" s="1211"/>
      <c r="I472" s="1229"/>
      <c r="J472" s="1315">
        <f>J266</f>
        <v>63000</v>
      </c>
    </row>
    <row r="473" spans="2:10" s="1232" customFormat="1">
      <c r="B473" s="1229"/>
      <c r="C473" s="1304"/>
      <c r="D473" s="1230"/>
      <c r="E473" s="1229"/>
      <c r="F473" s="1211"/>
      <c r="G473" s="1229"/>
      <c r="H473" s="1211"/>
      <c r="I473" s="1229"/>
      <c r="J473" s="1229"/>
    </row>
    <row r="474" spans="2:10" s="1213" customFormat="1">
      <c r="B474" s="1229"/>
      <c r="C474" s="1343" t="s">
        <v>155</v>
      </c>
      <c r="D474" s="1212"/>
      <c r="E474" s="1229"/>
      <c r="F474" s="1211"/>
      <c r="G474" s="1229"/>
      <c r="H474" s="1211"/>
      <c r="I474" s="1229"/>
      <c r="J474" s="1231">
        <f>SUM(J468:J473)</f>
        <v>2787565.3423000001</v>
      </c>
    </row>
    <row r="475" spans="2:10" s="1213" customFormat="1" ht="6" customHeight="1">
      <c r="B475" s="1229"/>
      <c r="C475" s="1343"/>
      <c r="D475" s="1212"/>
      <c r="E475" s="1229"/>
      <c r="F475" s="1211"/>
      <c r="G475" s="1229"/>
      <c r="H475" s="1211"/>
      <c r="I475" s="1229"/>
      <c r="J475" s="1231"/>
    </row>
    <row r="476" spans="2:10" s="1213" customFormat="1">
      <c r="B476" s="1229"/>
      <c r="C476" s="1343" t="s">
        <v>1562</v>
      </c>
      <c r="D476" s="1212"/>
      <c r="E476" s="1229"/>
      <c r="F476" s="1211"/>
      <c r="G476" s="1229"/>
      <c r="H476" s="1211"/>
      <c r="I476" s="1229"/>
      <c r="J476" s="1231">
        <f>J438</f>
        <v>1400405</v>
      </c>
    </row>
    <row r="477" spans="2:10" s="1213" customFormat="1">
      <c r="B477" s="1229"/>
      <c r="C477" s="1343" t="s">
        <v>434</v>
      </c>
      <c r="D477" s="1212"/>
      <c r="E477" s="1229"/>
      <c r="F477" s="1211"/>
      <c r="G477" s="1229"/>
      <c r="H477" s="1211"/>
      <c r="I477" s="1229"/>
      <c r="J477" s="1231">
        <f>J451+J463</f>
        <v>114704</v>
      </c>
    </row>
    <row r="478" spans="2:10" s="1213" customFormat="1">
      <c r="B478" s="1229"/>
      <c r="C478" s="1343" t="s">
        <v>1565</v>
      </c>
      <c r="D478" s="1212"/>
      <c r="E478" s="1229"/>
      <c r="F478" s="1211"/>
      <c r="G478" s="1229"/>
      <c r="H478" s="1211"/>
      <c r="I478" s="1229"/>
      <c r="J478" s="1231">
        <f>J309</f>
        <v>163331</v>
      </c>
    </row>
    <row r="479" spans="2:10" s="1232" customFormat="1">
      <c r="B479" s="1229"/>
      <c r="C479" s="1305"/>
      <c r="D479" s="1230"/>
      <c r="E479" s="1229"/>
      <c r="F479" s="1211"/>
      <c r="G479" s="1229"/>
      <c r="H479" s="1211"/>
      <c r="I479" s="1229"/>
      <c r="J479" s="1211"/>
    </row>
    <row r="480" spans="2:10" s="1232" customFormat="1">
      <c r="B480" s="1229"/>
      <c r="C480" s="1305"/>
      <c r="D480" s="1230"/>
      <c r="E480" s="1229"/>
      <c r="F480" s="1211"/>
      <c r="G480" s="1229"/>
      <c r="H480" s="1211"/>
      <c r="I480" s="1229"/>
      <c r="J480" s="1231">
        <f>J474+J476+J477+J478</f>
        <v>4466005.3422999997</v>
      </c>
    </row>
    <row r="481" spans="10:10">
      <c r="J481" s="1387">
        <f>J139+J194+J254+J266+J280+J309+J438+J451+J463</f>
        <v>4466005.3422999997</v>
      </c>
    </row>
    <row r="482" spans="10:10">
      <c r="J482" s="1387">
        <f>J481-J480</f>
        <v>0</v>
      </c>
    </row>
  </sheetData>
  <mergeCells count="6">
    <mergeCell ref="E465:H465"/>
    <mergeCell ref="E268:H268"/>
    <mergeCell ref="E282:H282"/>
    <mergeCell ref="E311:H311"/>
    <mergeCell ref="E440:H440"/>
    <mergeCell ref="E453:H453"/>
  </mergeCells>
  <phoneticPr fontId="66" type="noConversion"/>
  <hyperlinks>
    <hyperlink ref="D472" r:id="rId1" display="https://prozorro.gov.ua/tender/UA-2022-11-15-000746-a"/>
    <hyperlink ref="C258" r:id="rId2" display="https://prozorro.gov.ua/tender/UA-2022-11-15-000746-a"/>
  </hyperlinks>
  <pageMargins left="0" right="0" top="0" bottom="0" header="0" footer="0"/>
  <pageSetup paperSize="9" scale="79" fitToHeight="100" orientation="landscape" r:id="rId3"/>
  <rowBreaks count="6" manualBreakCount="6">
    <brk id="142" min="1" max="9" man="1"/>
    <brk id="197" min="1" max="9" man="1"/>
    <brk id="257" min="1" max="9" man="1"/>
    <brk id="283" min="1" max="9" man="1"/>
    <brk id="312" min="1" max="9" man="1"/>
    <brk id="465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60" zoomScaleNormal="100" workbookViewId="0">
      <selection activeCell="H56" sqref="H56"/>
    </sheetView>
  </sheetViews>
  <sheetFormatPr defaultRowHeight="15"/>
  <cols>
    <col min="2" max="2" width="33" style="1239" customWidth="1"/>
    <col min="3" max="3" width="13.7109375" style="1239" bestFit="1" customWidth="1"/>
    <col min="4" max="4" width="74.7109375" style="1239" bestFit="1" customWidth="1"/>
    <col min="5" max="5" width="25.85546875" style="1239" customWidth="1"/>
    <col min="6" max="7" width="33" style="1239" customWidth="1"/>
    <col min="8" max="8" width="9.140625" style="476"/>
    <col min="9" max="9" width="13" bestFit="1" customWidth="1"/>
  </cols>
  <sheetData>
    <row r="1" spans="2:9" s="1150" customFormat="1" ht="18.75">
      <c r="B1" s="1144" t="s">
        <v>911</v>
      </c>
      <c r="C1" s="1145"/>
      <c r="D1" s="1146"/>
      <c r="E1" s="1147"/>
      <c r="F1" s="1147"/>
      <c r="G1" s="1238"/>
      <c r="H1" s="1149"/>
    </row>
    <row r="2" spans="2:9" s="1150" customFormat="1" ht="18.75">
      <c r="B2" s="1145" t="s">
        <v>912</v>
      </c>
      <c r="C2" s="1145"/>
      <c r="D2" s="1146"/>
      <c r="E2" s="1147"/>
      <c r="F2" s="1147"/>
      <c r="G2" s="1148"/>
      <c r="H2" s="1149"/>
    </row>
    <row r="3" spans="2:9" ht="16.5">
      <c r="B3" s="1120" t="s">
        <v>1557</v>
      </c>
      <c r="C3" s="1121"/>
      <c r="D3" s="1120"/>
      <c r="E3" s="1122"/>
      <c r="F3" s="1123"/>
      <c r="G3" s="1455">
        <f>G51/12</f>
        <v>82860.5</v>
      </c>
    </row>
    <row r="4" spans="2:9" ht="16.5">
      <c r="B4" s="1120" t="s">
        <v>1847</v>
      </c>
      <c r="C4" s="1121"/>
      <c r="D4" s="1120"/>
      <c r="E4" s="1122"/>
      <c r="F4" s="1123"/>
      <c r="G4" s="1455">
        <f>G3</f>
        <v>82860.5</v>
      </c>
    </row>
    <row r="5" spans="2:9" ht="16.5">
      <c r="B5" s="1120" t="s">
        <v>1848</v>
      </c>
      <c r="C5" s="1121"/>
      <c r="D5" s="1120"/>
      <c r="E5" s="1122"/>
      <c r="F5" s="1123"/>
      <c r="G5" s="1455">
        <f t="shared" ref="G5:G14" si="0">G4</f>
        <v>82860.5</v>
      </c>
    </row>
    <row r="6" spans="2:9" ht="16.5">
      <c r="B6" s="1120" t="s">
        <v>1849</v>
      </c>
      <c r="C6" s="1121"/>
      <c r="D6" s="1120"/>
      <c r="E6" s="1122"/>
      <c r="F6" s="1122"/>
      <c r="G6" s="1455">
        <f t="shared" si="0"/>
        <v>82860.5</v>
      </c>
    </row>
    <row r="7" spans="2:9" ht="16.5">
      <c r="B7" s="1120" t="s">
        <v>1850</v>
      </c>
      <c r="C7" s="1121"/>
      <c r="D7" s="1120"/>
      <c r="E7" s="1122"/>
      <c r="F7" s="1122"/>
      <c r="G7" s="1455">
        <f t="shared" si="0"/>
        <v>82860.5</v>
      </c>
    </row>
    <row r="8" spans="2:9" ht="16.5">
      <c r="B8" s="1120" t="s">
        <v>1851</v>
      </c>
      <c r="C8" s="1121"/>
      <c r="D8" s="1120"/>
      <c r="E8" s="1122"/>
      <c r="F8" s="1122"/>
      <c r="G8" s="1455">
        <f t="shared" si="0"/>
        <v>82860.5</v>
      </c>
    </row>
    <row r="9" spans="2:9" ht="16.5">
      <c r="B9" s="1120" t="s">
        <v>1558</v>
      </c>
      <c r="C9" s="1121"/>
      <c r="D9" s="1120"/>
      <c r="E9" s="1122"/>
      <c r="F9" s="1122"/>
      <c r="G9" s="1455">
        <f t="shared" si="0"/>
        <v>82860.5</v>
      </c>
    </row>
    <row r="10" spans="2:9" ht="16.5">
      <c r="B10" s="1120" t="s">
        <v>1853</v>
      </c>
      <c r="C10" s="1121"/>
      <c r="D10" s="1120"/>
      <c r="E10" s="1122"/>
      <c r="F10" s="1122"/>
      <c r="G10" s="1455">
        <f t="shared" si="0"/>
        <v>82860.5</v>
      </c>
    </row>
    <row r="11" spans="2:9" ht="16.5">
      <c r="B11" s="1120" t="s">
        <v>1854</v>
      </c>
      <c r="C11" s="1121"/>
      <c r="D11" s="1120"/>
      <c r="E11" s="1122"/>
      <c r="F11" s="1122"/>
      <c r="G11" s="1455">
        <f t="shared" si="0"/>
        <v>82860.5</v>
      </c>
    </row>
    <row r="12" spans="2:9" ht="16.5">
      <c r="B12" s="1120" t="s">
        <v>1855</v>
      </c>
      <c r="C12" s="1121"/>
      <c r="D12" s="1120"/>
      <c r="E12" s="1122"/>
      <c r="F12" s="1122"/>
      <c r="G12" s="1455">
        <f t="shared" si="0"/>
        <v>82860.5</v>
      </c>
    </row>
    <row r="13" spans="2:9" ht="16.5">
      <c r="B13" s="1120" t="s">
        <v>1856</v>
      </c>
      <c r="C13" s="1121"/>
      <c r="D13" s="1120"/>
      <c r="E13" s="1122"/>
      <c r="F13" s="1122"/>
      <c r="G13" s="1455">
        <f t="shared" si="0"/>
        <v>82860.5</v>
      </c>
    </row>
    <row r="14" spans="2:9" ht="16.5">
      <c r="B14" s="1120" t="s">
        <v>1857</v>
      </c>
      <c r="C14" s="1121"/>
      <c r="D14" s="1120"/>
      <c r="E14" s="1122"/>
      <c r="F14" s="1122"/>
      <c r="G14" s="1455">
        <f t="shared" si="0"/>
        <v>82860.5</v>
      </c>
    </row>
    <row r="15" spans="2:9" ht="16.5">
      <c r="B15" s="1121"/>
      <c r="C15" s="1121"/>
      <c r="D15" s="1120"/>
      <c r="E15" s="1122"/>
      <c r="F15" s="1123"/>
      <c r="G15" s="1455">
        <f>SUM(G3:G14)</f>
        <v>994326</v>
      </c>
    </row>
    <row r="16" spans="2:9" ht="18.75">
      <c r="B16" s="1124" t="s">
        <v>913</v>
      </c>
      <c r="C16" s="1026" t="s">
        <v>529</v>
      </c>
      <c r="D16" s="1125"/>
      <c r="E16" s="1124" t="s">
        <v>914</v>
      </c>
      <c r="F16" s="1124" t="s">
        <v>915</v>
      </c>
      <c r="G16" s="1142" t="s">
        <v>916</v>
      </c>
      <c r="I16" s="1225">
        <f>G51</f>
        <v>994326</v>
      </c>
    </row>
    <row r="17" spans="1:8" ht="15.75">
      <c r="B17" s="1126"/>
      <c r="C17" s="1126"/>
      <c r="D17" s="1127"/>
      <c r="E17" s="1128"/>
      <c r="F17" s="1128"/>
      <c r="G17" s="1040"/>
    </row>
    <row r="18" spans="1:8" ht="15.75">
      <c r="B18" s="1126" t="s">
        <v>917</v>
      </c>
      <c r="C18" s="1126" t="s">
        <v>918</v>
      </c>
      <c r="D18" s="1127" t="s">
        <v>919</v>
      </c>
      <c r="E18" s="1129">
        <f>3900</f>
        <v>3900</v>
      </c>
      <c r="F18" s="1130">
        <v>15</v>
      </c>
      <c r="G18" s="1040">
        <f t="shared" ref="G18:G50" si="1">F18*E18</f>
        <v>58500</v>
      </c>
      <c r="H18" s="1460">
        <f>E18/12</f>
        <v>325</v>
      </c>
    </row>
    <row r="19" spans="1:8" ht="15.75">
      <c r="B19" s="1136" t="s">
        <v>955</v>
      </c>
      <c r="C19" s="1126" t="s">
        <v>956</v>
      </c>
      <c r="D19" s="1127" t="s">
        <v>957</v>
      </c>
      <c r="E19" s="1129">
        <f>480</f>
        <v>480</v>
      </c>
      <c r="F19" s="1130">
        <v>165</v>
      </c>
      <c r="G19" s="1040">
        <f t="shared" si="1"/>
        <v>79200</v>
      </c>
      <c r="H19" s="1460">
        <f t="shared" ref="H19:H50" si="2">E19/12</f>
        <v>40</v>
      </c>
    </row>
    <row r="20" spans="1:8" ht="15.75">
      <c r="B20" s="1131" t="s">
        <v>966</v>
      </c>
      <c r="C20" s="1126" t="s">
        <v>944</v>
      </c>
      <c r="D20" s="1127" t="s">
        <v>945</v>
      </c>
      <c r="E20" s="1129">
        <v>5</v>
      </c>
      <c r="F20" s="1129">
        <v>180</v>
      </c>
      <c r="G20" s="1040">
        <f t="shared" si="1"/>
        <v>900</v>
      </c>
      <c r="H20" s="1460">
        <f t="shared" si="2"/>
        <v>0.41666666666666669</v>
      </c>
    </row>
    <row r="21" spans="1:8" s="77" customFormat="1" ht="15.75">
      <c r="A21" s="703"/>
      <c r="B21" s="1131" t="s">
        <v>943</v>
      </c>
      <c r="C21" s="1126" t="s">
        <v>944</v>
      </c>
      <c r="D21" s="1127" t="s">
        <v>945</v>
      </c>
      <c r="E21" s="1129">
        <f>6</f>
        <v>6</v>
      </c>
      <c r="F21" s="1129">
        <v>350</v>
      </c>
      <c r="G21" s="1040">
        <f t="shared" si="1"/>
        <v>2100</v>
      </c>
      <c r="H21" s="1460">
        <f t="shared" si="2"/>
        <v>0.5</v>
      </c>
    </row>
    <row r="22" spans="1:8" s="680" customFormat="1" ht="15.75">
      <c r="A22" s="1137"/>
      <c r="B22" s="1131" t="s">
        <v>967</v>
      </c>
      <c r="C22" s="1126" t="s">
        <v>944</v>
      </c>
      <c r="D22" s="1127" t="s">
        <v>945</v>
      </c>
      <c r="E22" s="1129">
        <f>540</f>
        <v>540</v>
      </c>
      <c r="F22" s="1129">
        <v>22</v>
      </c>
      <c r="G22" s="1040">
        <f t="shared" si="1"/>
        <v>11880</v>
      </c>
      <c r="H22" s="1460">
        <f t="shared" si="2"/>
        <v>45</v>
      </c>
    </row>
    <row r="23" spans="1:8" s="680" customFormat="1" ht="15.75">
      <c r="A23" s="1137"/>
      <c r="B23" s="1131" t="s">
        <v>963</v>
      </c>
      <c r="C23" s="1126" t="s">
        <v>964</v>
      </c>
      <c r="D23" s="1127" t="s">
        <v>965</v>
      </c>
      <c r="E23" s="1129">
        <f>10*12</f>
        <v>120</v>
      </c>
      <c r="F23" s="1129">
        <v>290</v>
      </c>
      <c r="G23" s="1040">
        <f t="shared" si="1"/>
        <v>34800</v>
      </c>
      <c r="H23" s="1460">
        <f t="shared" si="2"/>
        <v>10</v>
      </c>
    </row>
    <row r="24" spans="1:8" s="77" customFormat="1" ht="15.75">
      <c r="A24" s="703"/>
      <c r="B24" s="1136" t="s">
        <v>949</v>
      </c>
      <c r="C24" s="1126" t="s">
        <v>950</v>
      </c>
      <c r="D24" s="1127" t="s">
        <v>951</v>
      </c>
      <c r="E24" s="1140">
        <f>1200</f>
        <v>1200</v>
      </c>
      <c r="F24" s="1129">
        <v>70</v>
      </c>
      <c r="G24" s="1040">
        <f t="shared" si="1"/>
        <v>84000</v>
      </c>
      <c r="H24" s="1460">
        <f t="shared" si="2"/>
        <v>100</v>
      </c>
    </row>
    <row r="25" spans="1:8" s="77" customFormat="1" ht="15.75">
      <c r="A25" s="703"/>
      <c r="B25" s="1136" t="s">
        <v>981</v>
      </c>
      <c r="C25" s="1126" t="s">
        <v>950</v>
      </c>
      <c r="D25" s="1127" t="s">
        <v>951</v>
      </c>
      <c r="E25" s="1140">
        <f>1800/4</f>
        <v>450</v>
      </c>
      <c r="F25" s="1129">
        <v>150</v>
      </c>
      <c r="G25" s="1040">
        <f>F25*E25</f>
        <v>67500</v>
      </c>
      <c r="H25" s="1460">
        <f t="shared" si="2"/>
        <v>37.5</v>
      </c>
    </row>
    <row r="26" spans="1:8" s="77" customFormat="1" ht="15.75">
      <c r="A26" s="703"/>
      <c r="B26" s="1131" t="s">
        <v>975</v>
      </c>
      <c r="C26" s="1126" t="s">
        <v>976</v>
      </c>
      <c r="D26" s="1127" t="s">
        <v>977</v>
      </c>
      <c r="E26" s="1129">
        <f>10*12</f>
        <v>120</v>
      </c>
      <c r="F26" s="1129">
        <v>120</v>
      </c>
      <c r="G26" s="1040">
        <f t="shared" si="1"/>
        <v>14400</v>
      </c>
      <c r="H26" s="1460">
        <f t="shared" si="2"/>
        <v>10</v>
      </c>
    </row>
    <row r="27" spans="1:8" s="77" customFormat="1" ht="15.75">
      <c r="A27" s="703"/>
      <c r="B27" s="1131" t="s">
        <v>960</v>
      </c>
      <c r="C27" s="1126" t="s">
        <v>961</v>
      </c>
      <c r="D27" s="1127" t="s">
        <v>962</v>
      </c>
      <c r="E27" s="1129">
        <f>960</f>
        <v>960</v>
      </c>
      <c r="F27" s="1129">
        <v>28</v>
      </c>
      <c r="G27" s="1040">
        <f t="shared" si="1"/>
        <v>26880</v>
      </c>
      <c r="H27" s="1460">
        <f t="shared" si="2"/>
        <v>80</v>
      </c>
    </row>
    <row r="28" spans="1:8" s="77" customFormat="1" ht="15.75">
      <c r="A28" s="703"/>
      <c r="B28" s="1131" t="s">
        <v>923</v>
      </c>
      <c r="C28" s="1126" t="s">
        <v>924</v>
      </c>
      <c r="D28" s="1127" t="s">
        <v>925</v>
      </c>
      <c r="E28" s="1129">
        <f>720</f>
        <v>720</v>
      </c>
      <c r="F28" s="1129">
        <v>21</v>
      </c>
      <c r="G28" s="1040">
        <f t="shared" si="1"/>
        <v>15120</v>
      </c>
      <c r="H28" s="1460">
        <f t="shared" si="2"/>
        <v>60</v>
      </c>
    </row>
    <row r="29" spans="1:8" s="77" customFormat="1" ht="15.75">
      <c r="A29" s="703"/>
      <c r="B29" s="1136" t="s">
        <v>971</v>
      </c>
      <c r="C29" s="1126" t="s">
        <v>921</v>
      </c>
      <c r="D29" s="1127" t="s">
        <v>922</v>
      </c>
      <c r="E29" s="1129">
        <f>1800</f>
        <v>1800</v>
      </c>
      <c r="F29" s="1129">
        <v>10</v>
      </c>
      <c r="G29" s="1040">
        <f t="shared" si="1"/>
        <v>18000</v>
      </c>
      <c r="H29" s="1460">
        <f t="shared" si="2"/>
        <v>150</v>
      </c>
    </row>
    <row r="30" spans="1:8" s="77" customFormat="1" ht="15.75">
      <c r="A30" s="703"/>
      <c r="B30" s="1136" t="s">
        <v>980</v>
      </c>
      <c r="C30" s="1126" t="s">
        <v>921</v>
      </c>
      <c r="D30" s="1127" t="s">
        <v>922</v>
      </c>
      <c r="E30" s="1129">
        <f>14400/2</f>
        <v>7200</v>
      </c>
      <c r="F30" s="1129">
        <v>4</v>
      </c>
      <c r="G30" s="1040">
        <f>F30*E30</f>
        <v>28800</v>
      </c>
      <c r="H30" s="1460">
        <f t="shared" si="2"/>
        <v>600</v>
      </c>
    </row>
    <row r="31" spans="1:8" s="77" customFormat="1" ht="15.75">
      <c r="A31" s="703"/>
      <c r="B31" s="1136" t="s">
        <v>972</v>
      </c>
      <c r="C31" s="1126" t="s">
        <v>921</v>
      </c>
      <c r="D31" s="1127" t="s">
        <v>922</v>
      </c>
      <c r="E31" s="1129">
        <f>1800</f>
        <v>1800</v>
      </c>
      <c r="F31" s="1129">
        <v>13</v>
      </c>
      <c r="G31" s="1040">
        <f t="shared" si="1"/>
        <v>23400</v>
      </c>
      <c r="H31" s="1460">
        <f t="shared" si="2"/>
        <v>150</v>
      </c>
    </row>
    <row r="32" spans="1:8" s="77" customFormat="1" ht="15.75">
      <c r="A32" s="703"/>
      <c r="B32" s="1136" t="s">
        <v>973</v>
      </c>
      <c r="C32" s="1126" t="s">
        <v>921</v>
      </c>
      <c r="D32" s="1127" t="s">
        <v>922</v>
      </c>
      <c r="E32" s="1129">
        <f>840</f>
        <v>840</v>
      </c>
      <c r="F32" s="1129">
        <v>13</v>
      </c>
      <c r="G32" s="1040">
        <f t="shared" si="1"/>
        <v>10920</v>
      </c>
      <c r="H32" s="1460">
        <f t="shared" si="2"/>
        <v>70</v>
      </c>
    </row>
    <row r="33" spans="1:8" s="77" customFormat="1" ht="15.75">
      <c r="A33" s="703"/>
      <c r="B33" s="1131" t="s">
        <v>920</v>
      </c>
      <c r="C33" s="1126" t="s">
        <v>921</v>
      </c>
      <c r="D33" s="1127" t="s">
        <v>922</v>
      </c>
      <c r="E33" s="1129">
        <f>900</f>
        <v>900</v>
      </c>
      <c r="F33" s="1129">
        <v>15</v>
      </c>
      <c r="G33" s="1040">
        <f t="shared" si="1"/>
        <v>13500</v>
      </c>
      <c r="H33" s="1460">
        <f t="shared" si="2"/>
        <v>75</v>
      </c>
    </row>
    <row r="34" spans="1:8" s="77" customFormat="1" ht="15.75">
      <c r="A34" s="703"/>
      <c r="B34" s="1136" t="s">
        <v>968</v>
      </c>
      <c r="C34" s="1126" t="s">
        <v>969</v>
      </c>
      <c r="D34" s="1127" t="s">
        <v>970</v>
      </c>
      <c r="E34" s="1129">
        <f>18</f>
        <v>18</v>
      </c>
      <c r="F34" s="1129">
        <v>125</v>
      </c>
      <c r="G34" s="1040">
        <f t="shared" si="1"/>
        <v>2250</v>
      </c>
      <c r="H34" s="1460">
        <f t="shared" si="2"/>
        <v>1.5</v>
      </c>
    </row>
    <row r="35" spans="1:8" s="77" customFormat="1" ht="15.75">
      <c r="A35" s="703"/>
      <c r="B35" s="1131" t="s">
        <v>931</v>
      </c>
      <c r="C35" s="1126" t="s">
        <v>927</v>
      </c>
      <c r="D35" s="1127" t="s">
        <v>928</v>
      </c>
      <c r="E35" s="1128">
        <f>840</f>
        <v>840</v>
      </c>
      <c r="F35" s="1130">
        <v>30</v>
      </c>
      <c r="G35" s="1040">
        <f t="shared" si="1"/>
        <v>25200</v>
      </c>
      <c r="H35" s="1460">
        <f t="shared" si="2"/>
        <v>70</v>
      </c>
    </row>
    <row r="36" spans="1:8" s="77" customFormat="1" ht="15.75">
      <c r="B36" s="1131" t="s">
        <v>932</v>
      </c>
      <c r="C36" s="1126" t="s">
        <v>927</v>
      </c>
      <c r="D36" s="1127" t="s">
        <v>928</v>
      </c>
      <c r="E36" s="1129">
        <f>360</f>
        <v>360</v>
      </c>
      <c r="F36" s="1129">
        <v>24.5</v>
      </c>
      <c r="G36" s="1040">
        <f t="shared" si="1"/>
        <v>8820</v>
      </c>
      <c r="H36" s="1460">
        <f t="shared" si="2"/>
        <v>30</v>
      </c>
    </row>
    <row r="37" spans="1:8" s="77" customFormat="1" ht="15.75">
      <c r="B37" s="1131" t="s">
        <v>933</v>
      </c>
      <c r="C37" s="1126" t="s">
        <v>927</v>
      </c>
      <c r="D37" s="1127" t="s">
        <v>928</v>
      </c>
      <c r="E37" s="1129">
        <f>1200</f>
        <v>1200</v>
      </c>
      <c r="F37" s="1129">
        <v>25</v>
      </c>
      <c r="G37" s="1040">
        <f t="shared" si="1"/>
        <v>30000</v>
      </c>
      <c r="H37" s="1460">
        <f t="shared" si="2"/>
        <v>100</v>
      </c>
    </row>
    <row r="38" spans="1:8" s="77" customFormat="1" ht="15.75">
      <c r="B38" s="1131" t="s">
        <v>934</v>
      </c>
      <c r="C38" s="1126" t="s">
        <v>927</v>
      </c>
      <c r="D38" s="1127" t="s">
        <v>928</v>
      </c>
      <c r="E38" s="1129">
        <f>840</f>
        <v>840</v>
      </c>
      <c r="F38" s="1129">
        <v>50</v>
      </c>
      <c r="G38" s="1040">
        <f t="shared" si="1"/>
        <v>42000</v>
      </c>
      <c r="H38" s="1460">
        <f t="shared" si="2"/>
        <v>70</v>
      </c>
    </row>
    <row r="39" spans="1:8" s="77" customFormat="1" ht="15.75">
      <c r="B39" s="1131" t="s">
        <v>930</v>
      </c>
      <c r="C39" s="1126" t="s">
        <v>927</v>
      </c>
      <c r="D39" s="1127" t="s">
        <v>928</v>
      </c>
      <c r="E39" s="1129">
        <f>360</f>
        <v>360</v>
      </c>
      <c r="F39" s="1129">
        <v>17.600000000000001</v>
      </c>
      <c r="G39" s="1040">
        <f t="shared" si="1"/>
        <v>6336.0000000000009</v>
      </c>
      <c r="H39" s="1460">
        <f t="shared" si="2"/>
        <v>30</v>
      </c>
    </row>
    <row r="40" spans="1:8" s="77" customFormat="1" ht="15.75">
      <c r="B40" s="1131" t="s">
        <v>929</v>
      </c>
      <c r="C40" s="1126" t="s">
        <v>927</v>
      </c>
      <c r="D40" s="1127" t="s">
        <v>928</v>
      </c>
      <c r="E40" s="1129">
        <f>360</f>
        <v>360</v>
      </c>
      <c r="F40" s="1129">
        <v>12.5</v>
      </c>
      <c r="G40" s="1040">
        <f t="shared" si="1"/>
        <v>4500</v>
      </c>
      <c r="H40" s="1460">
        <f t="shared" si="2"/>
        <v>30</v>
      </c>
    </row>
    <row r="41" spans="1:8" s="77" customFormat="1" ht="15.75">
      <c r="B41" s="1136" t="s">
        <v>974</v>
      </c>
      <c r="C41" s="1126" t="s">
        <v>927</v>
      </c>
      <c r="D41" s="1127" t="s">
        <v>928</v>
      </c>
      <c r="E41" s="1129">
        <f>5*12</f>
        <v>60</v>
      </c>
      <c r="F41" s="1129">
        <v>12</v>
      </c>
      <c r="G41" s="1040">
        <f t="shared" si="1"/>
        <v>720</v>
      </c>
      <c r="H41" s="1460">
        <f t="shared" si="2"/>
        <v>5</v>
      </c>
    </row>
    <row r="42" spans="1:8" s="77" customFormat="1" ht="15.75">
      <c r="B42" s="1131" t="s">
        <v>926</v>
      </c>
      <c r="C42" s="1126" t="s">
        <v>927</v>
      </c>
      <c r="D42" s="1127" t="s">
        <v>928</v>
      </c>
      <c r="E42" s="1129">
        <f>600</f>
        <v>600</v>
      </c>
      <c r="F42" s="1129">
        <v>12</v>
      </c>
      <c r="G42" s="1040">
        <f t="shared" si="1"/>
        <v>7200</v>
      </c>
      <c r="H42" s="1460">
        <f t="shared" si="2"/>
        <v>50</v>
      </c>
    </row>
    <row r="43" spans="1:8" s="77" customFormat="1" ht="15.75">
      <c r="B43" s="1131" t="s">
        <v>942</v>
      </c>
      <c r="C43" s="1126" t="s">
        <v>927</v>
      </c>
      <c r="D43" s="1127" t="s">
        <v>928</v>
      </c>
      <c r="E43" s="1129">
        <f>480</f>
        <v>480</v>
      </c>
      <c r="F43" s="1129">
        <v>25</v>
      </c>
      <c r="G43" s="1040">
        <f t="shared" si="1"/>
        <v>12000</v>
      </c>
      <c r="H43" s="1460">
        <f t="shared" si="2"/>
        <v>40</v>
      </c>
    </row>
    <row r="44" spans="1:8" s="77" customFormat="1" ht="15.75">
      <c r="B44" s="1131" t="s">
        <v>935</v>
      </c>
      <c r="C44" s="1126" t="s">
        <v>927</v>
      </c>
      <c r="D44" s="1127" t="s">
        <v>928</v>
      </c>
      <c r="E44" s="1130">
        <f>960</f>
        <v>960</v>
      </c>
      <c r="F44" s="1130">
        <v>50</v>
      </c>
      <c r="G44" s="1040">
        <f t="shared" si="1"/>
        <v>48000</v>
      </c>
      <c r="H44" s="1460">
        <f t="shared" si="2"/>
        <v>80</v>
      </c>
    </row>
    <row r="45" spans="1:8" s="77" customFormat="1" ht="15.75">
      <c r="B45" s="1131" t="s">
        <v>946</v>
      </c>
      <c r="C45" s="1126" t="s">
        <v>947</v>
      </c>
      <c r="D45" s="1127" t="s">
        <v>948</v>
      </c>
      <c r="E45" s="1129">
        <f>720*12</f>
        <v>8640</v>
      </c>
      <c r="F45" s="1129">
        <v>5</v>
      </c>
      <c r="G45" s="1040">
        <f t="shared" si="1"/>
        <v>43200</v>
      </c>
      <c r="H45" s="1460">
        <f t="shared" si="2"/>
        <v>720</v>
      </c>
    </row>
    <row r="46" spans="1:8" s="77" customFormat="1" ht="15.75">
      <c r="B46" s="1131" t="s">
        <v>952</v>
      </c>
      <c r="C46" s="1126" t="s">
        <v>953</v>
      </c>
      <c r="D46" s="1127" t="s">
        <v>954</v>
      </c>
      <c r="E46" s="1129">
        <f>960</f>
        <v>960</v>
      </c>
      <c r="F46" s="1129">
        <v>70</v>
      </c>
      <c r="G46" s="1040">
        <f t="shared" si="1"/>
        <v>67200</v>
      </c>
      <c r="H46" s="1460">
        <f t="shared" si="2"/>
        <v>80</v>
      </c>
    </row>
    <row r="47" spans="1:8" s="77" customFormat="1" ht="15.75">
      <c r="B47" s="1131" t="s">
        <v>982</v>
      </c>
      <c r="C47" s="1126" t="s">
        <v>978</v>
      </c>
      <c r="D47" s="1127" t="s">
        <v>979</v>
      </c>
      <c r="E47" s="1129">
        <v>360</v>
      </c>
      <c r="F47" s="1130">
        <v>130</v>
      </c>
      <c r="G47" s="1040">
        <f t="shared" si="1"/>
        <v>46800</v>
      </c>
      <c r="H47" s="1460">
        <f t="shared" si="2"/>
        <v>30</v>
      </c>
    </row>
    <row r="48" spans="1:8" s="77" customFormat="1" ht="15.75">
      <c r="B48" s="1131" t="s">
        <v>936</v>
      </c>
      <c r="C48" s="1126" t="s">
        <v>937</v>
      </c>
      <c r="D48" s="1127" t="s">
        <v>938</v>
      </c>
      <c r="E48" s="1128">
        <f>180</f>
        <v>180</v>
      </c>
      <c r="F48" s="1130">
        <v>90</v>
      </c>
      <c r="G48" s="1040">
        <f t="shared" si="1"/>
        <v>16200</v>
      </c>
      <c r="H48" s="1460">
        <f t="shared" si="2"/>
        <v>15</v>
      </c>
    </row>
    <row r="49" spans="2:8" s="1141" customFormat="1" ht="15.75">
      <c r="B49" s="1126" t="s">
        <v>939</v>
      </c>
      <c r="C49" s="1126" t="s">
        <v>940</v>
      </c>
      <c r="D49" s="1127" t="s">
        <v>941</v>
      </c>
      <c r="E49" s="1128">
        <f>330*12</f>
        <v>3960</v>
      </c>
      <c r="F49" s="1130">
        <v>30</v>
      </c>
      <c r="G49" s="1040">
        <f t="shared" si="1"/>
        <v>118800</v>
      </c>
      <c r="H49" s="1460">
        <f t="shared" si="2"/>
        <v>330</v>
      </c>
    </row>
    <row r="50" spans="2:8" s="77" customFormat="1" ht="15.75">
      <c r="B50" s="1131" t="s">
        <v>958</v>
      </c>
      <c r="C50" s="1138" t="s">
        <v>959</v>
      </c>
      <c r="D50" s="1139" t="s">
        <v>958</v>
      </c>
      <c r="E50" s="1128">
        <f>840</f>
        <v>840</v>
      </c>
      <c r="F50" s="1130">
        <v>30</v>
      </c>
      <c r="G50" s="1040">
        <f t="shared" si="1"/>
        <v>25200</v>
      </c>
      <c r="H50" s="1460">
        <f t="shared" si="2"/>
        <v>70</v>
      </c>
    </row>
    <row r="51" spans="2:8" ht="15.75">
      <c r="B51" s="1132"/>
      <c r="C51" s="1132"/>
      <c r="D51" s="1133"/>
      <c r="E51" s="1134"/>
      <c r="F51" s="1135"/>
      <c r="G51" s="1143">
        <f>SUM(G18:G50)</f>
        <v>994326</v>
      </c>
    </row>
    <row r="53" spans="2:8" s="1233" customFormat="1" ht="19.5">
      <c r="B53" s="1241" t="s">
        <v>1492</v>
      </c>
      <c r="C53" s="1241"/>
      <c r="D53" s="1241" t="s">
        <v>161</v>
      </c>
      <c r="E53" s="1241"/>
      <c r="F53" s="1241"/>
      <c r="G53" s="1241"/>
      <c r="H53" s="1242"/>
    </row>
    <row r="55" spans="2:8">
      <c r="G55" s="1240">
        <v>1124400</v>
      </c>
    </row>
    <row r="56" spans="2:8">
      <c r="G56" s="1240">
        <f>G55-G51</f>
        <v>130074</v>
      </c>
    </row>
  </sheetData>
  <phoneticPr fontId="66" type="noConversion"/>
  <hyperlinks>
    <hyperlink ref="C18" r:id="rId1" tooltip="Дерево коду 15510000-6" display="https://ezs.dkpp.rv.ua/index.php?search=15510000-6&amp;type=code"/>
    <hyperlink ref="D18" r:id="rId2" display="https://ezs.dkpp.rv.ua/index.php?level=15510000-6"/>
    <hyperlink ref="C49" r:id="rId3" tooltip="Дерево коду 15810000-9" display="https://ezs.dkpp.rv.ua/index.php?search=15810000-9&amp;type=code"/>
    <hyperlink ref="D49" r:id="rId4" display="https://ezs.dkpp.rv.ua/index.php?level=15810000-9"/>
    <hyperlink ref="C33" r:id="rId5" tooltip="Дерево коду 03220000-9" display="https://ezs.dkpp.rv.ua/index.php?search=03220000-9&amp;type=code"/>
    <hyperlink ref="D33" r:id="rId6" display="https://ezs.dkpp.rv.ua/index.php?level=03220000-9"/>
    <hyperlink ref="C39" r:id="rId7" tooltip="Дерево коду 15610000-7" display="https://ezs.dkpp.rv.ua/index.php?search=15610000-7&amp;type=code"/>
    <hyperlink ref="D39" r:id="rId8" display="https://ezs.dkpp.rv.ua/index.php?level=15610000-7"/>
    <hyperlink ref="C35" r:id="rId9" tooltip="Дерево коду 15610000-7" display="https://ezs.dkpp.rv.ua/index.php?search=15610000-7&amp;type=code"/>
    <hyperlink ref="D35" r:id="rId10" display="https://ezs.dkpp.rv.ua/index.php?level=15610000-7"/>
    <hyperlink ref="C36" r:id="rId11" tooltip="Дерево коду 15610000-7" display="https://ezs.dkpp.rv.ua/index.php?search=15610000-7&amp;type=code"/>
    <hyperlink ref="D36" r:id="rId12" display="https://ezs.dkpp.rv.ua/index.php?level=15610000-7"/>
    <hyperlink ref="C37" r:id="rId13" tooltip="Дерево коду 15610000-7" display="https://ezs.dkpp.rv.ua/index.php?search=15610000-7&amp;type=code"/>
    <hyperlink ref="D37" r:id="rId14" display="https://ezs.dkpp.rv.ua/index.php?level=15610000-7"/>
    <hyperlink ref="C44" r:id="rId15" tooltip="Дерево коду 15610000-7" display="https://ezs.dkpp.rv.ua/index.php?search=15610000-7&amp;type=code"/>
    <hyperlink ref="D44" r:id="rId16" display="https://ezs.dkpp.rv.ua/index.php?level=15610000-7"/>
    <hyperlink ref="C48" r:id="rId17" tooltip="Дерево коду 15610000-7" display="https://ezs.dkpp.rv.ua/index.php?search=15610000-7&amp;type=code"/>
    <hyperlink ref="C43" r:id="rId18" tooltip="Дерево коду 15610000-7" display="https://ezs.dkpp.rv.ua/index.php?search=15610000-7&amp;type=code"/>
    <hyperlink ref="D43" r:id="rId19" display="https://ezs.dkpp.rv.ua/index.php?level=15610000-7"/>
    <hyperlink ref="C27" r:id="rId20" tooltip="Дерево коду 15850000-1" display="https://ezs.dkpp.rv.ua/index.php?search=15850000-1&amp;type=code"/>
    <hyperlink ref="D27" r:id="rId21" display="https://ezs.dkpp.rv.ua/index.php?level=15850000-1"/>
    <hyperlink ref="D46" r:id="rId22" display="https://ezs.dkpp.rv.ua/index.php?level=15610000-7"/>
    <hyperlink ref="C46" r:id="rId23" tooltip="Дерево коду 15610000-7" display="https://ezs.dkpp.rv.ua/index.php?search=15610000-7&amp;type=code"/>
    <hyperlink ref="D50" r:id="rId24" display="https://prozorro.gov.ua/tender/UA-2021-04-09-007264-a"/>
    <hyperlink ref="C23" r:id="rId25" tooltip="Дерево коду 15860000-4" display="https://ezs.dkpp.rv.ua/index.php?search=15860000-4&amp;type=code"/>
    <hyperlink ref="D23" r:id="rId26" display="https://ezs.dkpp.rv.ua/index.php?level=15860000-4"/>
    <hyperlink ref="C29" r:id="rId27" tooltip="Дерево коду 03220000-9" display="https://ezs.dkpp.rv.ua/index.php?search=03220000-9&amp;type=code"/>
    <hyperlink ref="D29" r:id="rId28" display="https://ezs.dkpp.rv.ua/index.php?level=03220000-9"/>
    <hyperlink ref="C31" r:id="rId29" tooltip="Дерево коду 03220000-9" display="https://ezs.dkpp.rv.ua/index.php?search=03220000-9&amp;type=code"/>
    <hyperlink ref="D31" r:id="rId30" display="https://ezs.dkpp.rv.ua/index.php?level=03220000-9"/>
    <hyperlink ref="C41" r:id="rId31" tooltip="Дерево коду 15610000-7" display="https://ezs.dkpp.rv.ua/index.php?search=15610000-7&amp;type=code"/>
    <hyperlink ref="D41" r:id="rId32" display="https://ezs.dkpp.rv.ua/index.php?level=15610000-7"/>
    <hyperlink ref="C34" r:id="rId33" tooltip="Дерево коду 15890000-3" display="https://ezs.dkpp.rv.ua/index.php?search=15890000-3&amp;type=code"/>
    <hyperlink ref="D34" r:id="rId34" display="https://ezs.dkpp.rv.ua/index.php?level=15890000-3"/>
    <hyperlink ref="C40" r:id="rId35" tooltip="Дерево коду 15610000-7" display="https://ezs.dkpp.rv.ua/index.php?search=15610000-7&amp;type=code"/>
    <hyperlink ref="D40" r:id="rId36" display="https://ezs.dkpp.rv.ua/index.php?level=15610000-7"/>
    <hyperlink ref="C42" r:id="rId37" tooltip="Дерево коду 15610000-7" display="https://ezs.dkpp.rv.ua/index.php?search=15610000-7&amp;type=code"/>
    <hyperlink ref="D42" r:id="rId38" display="https://ezs.dkpp.rv.ua/index.php?level=15610000-7"/>
    <hyperlink ref="C28" r:id="rId39" tooltip="Дерево коду 15330000-0" display="https://ezs.dkpp.rv.ua/index.php?search=15330000-0&amp;type=code"/>
    <hyperlink ref="D28" r:id="rId40" display="https://ezs.dkpp.rv.ua/index.php?level=15330000-0"/>
    <hyperlink ref="C38" r:id="rId41" tooltip="Дерево коду 15610000-7" display="https://ezs.dkpp.rv.ua/index.php?search=15610000-7&amp;type=code"/>
    <hyperlink ref="D38" r:id="rId42" display="https://ezs.dkpp.rv.ua/index.php?level=15610000-7"/>
    <hyperlink ref="C30" r:id="rId43" tooltip="Дерево коду 03220000-9" display="https://ezs.dkpp.rv.ua/index.php?search=03220000-9&amp;type=code"/>
    <hyperlink ref="D30" r:id="rId44" display="https://ezs.dkpp.rv.ua/index.php?level=03220000-9"/>
  </hyperlinks>
  <pageMargins left="0" right="0" top="0" bottom="0" header="0" footer="0"/>
  <pageSetup paperSize="9" scale="64" fitToHeight="10" orientation="landscape" r:id="rId4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34"/>
  <sheetViews>
    <sheetView view="pageBreakPreview" zoomScale="60" zoomScaleNormal="50" workbookViewId="0">
      <selection activeCell="Q18" sqref="Q18"/>
    </sheetView>
  </sheetViews>
  <sheetFormatPr defaultRowHeight="15"/>
  <cols>
    <col min="1" max="1" width="9.140625" style="476"/>
    <col min="2" max="2" width="66.5703125" customWidth="1"/>
    <col min="3" max="4" width="13.28515625" bestFit="1" customWidth="1"/>
    <col min="5" max="5" width="14.7109375" bestFit="1" customWidth="1"/>
    <col min="6" max="7" width="13.28515625" bestFit="1" customWidth="1"/>
    <col min="8" max="9" width="14.7109375" bestFit="1" customWidth="1"/>
    <col min="10" max="10" width="14.5703125" bestFit="1" customWidth="1"/>
    <col min="11" max="11" width="14.7109375" bestFit="1" customWidth="1"/>
    <col min="12" max="12" width="14.5703125" bestFit="1" customWidth="1"/>
    <col min="13" max="13" width="17" customWidth="1"/>
    <col min="14" max="14" width="13.28515625" bestFit="1" customWidth="1"/>
    <col min="15" max="15" width="16.85546875" bestFit="1" customWidth="1"/>
    <col min="17" max="17" width="71.7109375" customWidth="1"/>
    <col min="18" max="18" width="9.140625" style="476"/>
  </cols>
  <sheetData>
    <row r="3" spans="2:15" ht="18.75">
      <c r="B3" s="1192"/>
      <c r="C3" s="1193" t="s">
        <v>1557</v>
      </c>
      <c r="D3" s="1193" t="s">
        <v>1847</v>
      </c>
      <c r="E3" s="1193" t="s">
        <v>1848</v>
      </c>
      <c r="F3" s="1193" t="s">
        <v>1849</v>
      </c>
      <c r="G3" s="1193" t="s">
        <v>1850</v>
      </c>
      <c r="H3" s="1193" t="s">
        <v>1851</v>
      </c>
      <c r="I3" s="1193" t="s">
        <v>1558</v>
      </c>
      <c r="J3" s="1193" t="s">
        <v>1853</v>
      </c>
      <c r="K3" s="1193" t="s">
        <v>1854</v>
      </c>
      <c r="L3" s="1193" t="s">
        <v>1855</v>
      </c>
      <c r="M3" s="1193" t="s">
        <v>1856</v>
      </c>
      <c r="N3" s="1193" t="s">
        <v>1857</v>
      </c>
      <c r="O3" s="1193">
        <v>2023</v>
      </c>
    </row>
    <row r="4" spans="2:15" ht="18.75">
      <c r="B4" s="1194" t="s">
        <v>1574</v>
      </c>
      <c r="C4" s="1195">
        <f>SUM(C5,C6,C7,C8,C9,C10)</f>
        <v>0</v>
      </c>
      <c r="D4" s="1195">
        <f t="shared" ref="D4:N4" si="0">SUM(D5,D6,D7,D8,D9,D10)</f>
        <v>0</v>
      </c>
      <c r="E4" s="1195">
        <f t="shared" si="0"/>
        <v>50000</v>
      </c>
      <c r="F4" s="1195">
        <f t="shared" si="0"/>
        <v>20000</v>
      </c>
      <c r="G4" s="1195">
        <f t="shared" si="0"/>
        <v>0</v>
      </c>
      <c r="H4" s="1195">
        <f t="shared" si="0"/>
        <v>50000</v>
      </c>
      <c r="I4" s="1195">
        <f t="shared" si="0"/>
        <v>35000</v>
      </c>
      <c r="J4" s="1195">
        <f t="shared" si="0"/>
        <v>3500</v>
      </c>
      <c r="K4" s="1195">
        <f t="shared" si="0"/>
        <v>52250</v>
      </c>
      <c r="L4" s="1195">
        <f t="shared" si="0"/>
        <v>0</v>
      </c>
      <c r="M4" s="1195">
        <f t="shared" si="0"/>
        <v>0</v>
      </c>
      <c r="N4" s="1195">
        <f t="shared" si="0"/>
        <v>0</v>
      </c>
      <c r="O4" s="1195">
        <f>SUM(O5,O6,O7,O8,O9,O10)</f>
        <v>210750</v>
      </c>
    </row>
    <row r="5" spans="2:15" ht="18.75">
      <c r="B5" s="1196" t="s">
        <v>1575</v>
      </c>
      <c r="C5" s="1197"/>
      <c r="D5" s="1197"/>
      <c r="E5" s="1197"/>
      <c r="F5" s="1197"/>
      <c r="G5" s="1197"/>
      <c r="H5" s="1197"/>
      <c r="I5" s="1197">
        <v>35000</v>
      </c>
      <c r="J5" s="1197"/>
      <c r="K5" s="1197"/>
      <c r="L5" s="1197"/>
      <c r="M5" s="1197"/>
      <c r="N5" s="1197"/>
      <c r="O5" s="1197">
        <f>SUM(C5:N5)</f>
        <v>35000</v>
      </c>
    </row>
    <row r="6" spans="2:15" ht="18.75">
      <c r="B6" s="1196" t="s">
        <v>1576</v>
      </c>
      <c r="C6" s="1197"/>
      <c r="D6" s="1197"/>
      <c r="E6" s="1197"/>
      <c r="F6" s="1197"/>
      <c r="G6" s="1197"/>
      <c r="H6" s="1197"/>
      <c r="I6" s="1197"/>
      <c r="J6" s="1197"/>
      <c r="K6" s="1197"/>
      <c r="L6" s="1197"/>
      <c r="M6" s="1197"/>
      <c r="N6" s="1197"/>
      <c r="O6" s="1197">
        <f t="shared" ref="O6:O11" si="1">SUM(C6:N6)</f>
        <v>0</v>
      </c>
    </row>
    <row r="7" spans="2:15" ht="18.75">
      <c r="B7" s="1196" t="s">
        <v>1577</v>
      </c>
      <c r="C7" s="1197"/>
      <c r="D7" s="1197"/>
      <c r="E7" s="1197"/>
      <c r="F7" s="1197"/>
      <c r="G7" s="1197"/>
      <c r="H7" s="1197"/>
      <c r="I7" s="1197"/>
      <c r="J7" s="1197"/>
      <c r="K7" s="1197"/>
      <c r="L7" s="1197"/>
      <c r="M7" s="1197"/>
      <c r="N7" s="1197"/>
      <c r="O7" s="1197">
        <f t="shared" si="1"/>
        <v>0</v>
      </c>
    </row>
    <row r="8" spans="2:15" ht="18.75">
      <c r="B8" s="1196" t="s">
        <v>1578</v>
      </c>
      <c r="C8" s="1197"/>
      <c r="D8" s="1197"/>
      <c r="E8" s="1197"/>
      <c r="F8" s="1197">
        <v>20000</v>
      </c>
      <c r="G8" s="1197"/>
      <c r="H8" s="1197"/>
      <c r="I8" s="1197"/>
      <c r="J8" s="1197"/>
      <c r="K8" s="1197"/>
      <c r="L8" s="1197"/>
      <c r="M8" s="1197"/>
      <c r="N8" s="1197"/>
      <c r="O8" s="1197">
        <f t="shared" si="1"/>
        <v>20000</v>
      </c>
    </row>
    <row r="9" spans="2:15" ht="37.5">
      <c r="B9" s="1196" t="s">
        <v>151</v>
      </c>
      <c r="C9" s="1197"/>
      <c r="D9" s="1197"/>
      <c r="E9" s="1197"/>
      <c r="F9" s="1197"/>
      <c r="G9" s="1197"/>
      <c r="H9" s="1197"/>
      <c r="I9" s="1197"/>
      <c r="J9" s="1197">
        <v>3500</v>
      </c>
      <c r="K9" s="1197">
        <v>2250</v>
      </c>
      <c r="L9" s="1197"/>
      <c r="M9" s="1197"/>
      <c r="N9" s="1197"/>
      <c r="O9" s="1197">
        <f t="shared" si="1"/>
        <v>5750</v>
      </c>
    </row>
    <row r="10" spans="2:15" ht="18.75">
      <c r="B10" s="1196" t="s">
        <v>1579</v>
      </c>
      <c r="C10" s="1197"/>
      <c r="D10" s="1197"/>
      <c r="E10" s="1197">
        <v>50000</v>
      </c>
      <c r="F10" s="1197"/>
      <c r="G10" s="1197"/>
      <c r="H10" s="1197">
        <v>50000</v>
      </c>
      <c r="I10" s="1197"/>
      <c r="J10" s="1197"/>
      <c r="K10" s="1197">
        <v>50000</v>
      </c>
      <c r="L10" s="1197"/>
      <c r="M10" s="1197"/>
      <c r="N10" s="1197"/>
      <c r="O10" s="1197">
        <f t="shared" si="1"/>
        <v>150000</v>
      </c>
    </row>
    <row r="11" spans="2:15" ht="18.75">
      <c r="B11" s="1198" t="s">
        <v>1580</v>
      </c>
      <c r="C11" s="1197"/>
      <c r="D11" s="1197"/>
      <c r="E11" s="1197"/>
      <c r="F11" s="1197"/>
      <c r="G11" s="1197"/>
      <c r="H11" s="1197"/>
      <c r="I11" s="1197"/>
      <c r="J11" s="1197"/>
      <c r="K11" s="1197"/>
      <c r="L11" s="1197"/>
      <c r="M11" s="1197"/>
      <c r="N11" s="1197"/>
      <c r="O11" s="1197">
        <f t="shared" si="1"/>
        <v>0</v>
      </c>
    </row>
    <row r="12" spans="2:15" ht="18.75">
      <c r="B12" s="1199" t="s">
        <v>152</v>
      </c>
      <c r="C12" s="1195">
        <f t="shared" ref="C12:N12" si="2">SUM(C13,C14,C15,C16,C17,C23,C24,C25,C26,C27,C28,C29,C30,C31,C33,C32)</f>
        <v>36601.666666666664</v>
      </c>
      <c r="D12" s="1195">
        <f t="shared" si="2"/>
        <v>64386.07666666666</v>
      </c>
      <c r="E12" s="1195">
        <f t="shared" si="2"/>
        <v>111462.50666666667</v>
      </c>
      <c r="F12" s="1195">
        <f t="shared" si="2"/>
        <v>39476.306666666664</v>
      </c>
      <c r="G12" s="1195">
        <f t="shared" si="2"/>
        <v>57713.366666666661</v>
      </c>
      <c r="H12" s="1195">
        <f t="shared" si="2"/>
        <v>99284.246666666673</v>
      </c>
      <c r="I12" s="1195">
        <f t="shared" si="2"/>
        <v>87004.19666666667</v>
      </c>
      <c r="J12" s="1195">
        <f t="shared" si="2"/>
        <v>40621.876666666663</v>
      </c>
      <c r="K12" s="1195">
        <f t="shared" si="2"/>
        <v>88448.646666666667</v>
      </c>
      <c r="L12" s="1195">
        <f t="shared" si="2"/>
        <v>69427.106666666674</v>
      </c>
      <c r="M12" s="1195">
        <f t="shared" si="2"/>
        <v>52659.876666666663</v>
      </c>
      <c r="N12" s="1195">
        <f t="shared" si="2"/>
        <v>64940.876666666663</v>
      </c>
      <c r="O12" s="1195">
        <f>SUM(O13,O14,O15,O16,O17,O23,O24,O25,O26,O27,O28,O29,O30,O31,O33,O32)</f>
        <v>812026.75</v>
      </c>
    </row>
    <row r="13" spans="2:15" ht="18.75">
      <c r="B13" s="1200" t="s">
        <v>1948</v>
      </c>
      <c r="C13" s="1201">
        <v>10000</v>
      </c>
      <c r="D13" s="1201"/>
      <c r="E13" s="1201"/>
      <c r="F13" s="1201"/>
      <c r="G13" s="1201"/>
      <c r="H13" s="1201"/>
      <c r="I13" s="1201"/>
      <c r="J13" s="1201"/>
      <c r="K13" s="1201"/>
      <c r="L13" s="1201"/>
      <c r="M13" s="1201"/>
      <c r="N13" s="1201"/>
      <c r="O13" s="1201">
        <f>SUM(C13:N13)</f>
        <v>10000</v>
      </c>
    </row>
    <row r="14" spans="2:15" ht="37.5">
      <c r="B14" s="1202" t="s">
        <v>1581</v>
      </c>
      <c r="C14" s="1197"/>
      <c r="D14" s="1197"/>
      <c r="E14" s="1197"/>
      <c r="F14" s="1197"/>
      <c r="G14" s="1197"/>
      <c r="H14" s="1197"/>
      <c r="I14" s="1197"/>
      <c r="J14" s="1197"/>
      <c r="K14" s="1197"/>
      <c r="L14" s="1197"/>
      <c r="M14" s="1197"/>
      <c r="N14" s="1197"/>
      <c r="O14" s="1197">
        <f t="shared" ref="O14:O33" si="3">SUM(C14:N14)</f>
        <v>0</v>
      </c>
    </row>
    <row r="15" spans="2:15" ht="18.75">
      <c r="B15" s="1202" t="s">
        <v>1582</v>
      </c>
      <c r="C15" s="1197"/>
      <c r="D15" s="1197"/>
      <c r="E15" s="1197"/>
      <c r="F15" s="1197"/>
      <c r="G15" s="1197"/>
      <c r="H15" s="1197"/>
      <c r="I15" s="1197"/>
      <c r="J15" s="1197"/>
      <c r="K15" s="1197"/>
      <c r="L15" s="1197"/>
      <c r="M15" s="1197"/>
      <c r="N15" s="1197"/>
      <c r="O15" s="1197">
        <f t="shared" si="3"/>
        <v>0</v>
      </c>
    </row>
    <row r="16" spans="2:15" ht="18.75">
      <c r="B16" s="1202" t="s">
        <v>1583</v>
      </c>
      <c r="C16" s="1197"/>
      <c r="D16" s="1197"/>
      <c r="E16" s="1197"/>
      <c r="F16" s="1197"/>
      <c r="G16" s="1197"/>
      <c r="H16" s="1197"/>
      <c r="I16" s="1197"/>
      <c r="J16" s="1197"/>
      <c r="K16" s="1197"/>
      <c r="L16" s="1197"/>
      <c r="M16" s="1197"/>
      <c r="N16" s="1197"/>
      <c r="O16" s="1197">
        <f t="shared" si="3"/>
        <v>0</v>
      </c>
    </row>
    <row r="17" spans="2:17" ht="19.5">
      <c r="B17" s="1203" t="s">
        <v>1584</v>
      </c>
      <c r="C17" s="1204">
        <f t="shared" ref="C17:N17" si="4">SUM(C18,C19,C20,C21,C22)</f>
        <v>3220</v>
      </c>
      <c r="D17" s="1204">
        <f t="shared" si="4"/>
        <v>7020</v>
      </c>
      <c r="E17" s="1204">
        <f t="shared" si="4"/>
        <v>13710</v>
      </c>
      <c r="F17" s="1204">
        <f t="shared" si="4"/>
        <v>7279</v>
      </c>
      <c r="G17" s="1204">
        <f t="shared" si="4"/>
        <v>5319</v>
      </c>
      <c r="H17" s="1204">
        <f t="shared" si="4"/>
        <v>13837</v>
      </c>
      <c r="I17" s="1204">
        <f t="shared" si="4"/>
        <v>10520</v>
      </c>
      <c r="J17" s="1204">
        <f t="shared" si="4"/>
        <v>3739</v>
      </c>
      <c r="K17" s="1204">
        <f t="shared" si="4"/>
        <v>13439</v>
      </c>
      <c r="L17" s="1204">
        <f t="shared" si="4"/>
        <v>7979</v>
      </c>
      <c r="M17" s="1204">
        <f t="shared" si="4"/>
        <v>3739</v>
      </c>
      <c r="N17" s="1204">
        <f t="shared" si="4"/>
        <v>3739</v>
      </c>
      <c r="O17" s="1204">
        <f>SUM(O18,O19,O20,O21,O22)</f>
        <v>93540</v>
      </c>
    </row>
    <row r="18" spans="2:17" ht="18.75">
      <c r="B18" s="1196" t="s">
        <v>1585</v>
      </c>
      <c r="C18" s="1197"/>
      <c r="D18" s="1205"/>
      <c r="E18" s="1205">
        <f>6360</f>
        <v>6360</v>
      </c>
      <c r="F18" s="1205"/>
      <c r="G18" s="1205"/>
      <c r="H18" s="1205">
        <f>6360+1308</f>
        <v>7668</v>
      </c>
      <c r="I18" s="1205"/>
      <c r="J18" s="1205"/>
      <c r="K18" s="1205">
        <f>6360</f>
        <v>6360</v>
      </c>
      <c r="L18" s="1205"/>
      <c r="M18" s="1205"/>
      <c r="N18" s="1205"/>
      <c r="O18" s="1197">
        <f t="shared" si="3"/>
        <v>20388</v>
      </c>
    </row>
    <row r="19" spans="2:17" ht="18.75">
      <c r="B19" s="1196" t="s">
        <v>1586</v>
      </c>
      <c r="C19" s="1197">
        <v>3000</v>
      </c>
      <c r="D19" s="1205">
        <v>6200</v>
      </c>
      <c r="E19" s="1205">
        <v>3800</v>
      </c>
      <c r="F19" s="1205">
        <f>2450+1090+3219</f>
        <v>6759</v>
      </c>
      <c r="G19" s="1205">
        <f>1580+3219</f>
        <v>4799</v>
      </c>
      <c r="H19" s="1205">
        <f>970+1460+3219</f>
        <v>5649</v>
      </c>
      <c r="I19" s="1205">
        <v>10000</v>
      </c>
      <c r="J19" s="1205">
        <f>3219</f>
        <v>3219</v>
      </c>
      <c r="K19" s="1205">
        <f>3340+3219</f>
        <v>6559</v>
      </c>
      <c r="L19" s="1205">
        <f>3219+4240</f>
        <v>7459</v>
      </c>
      <c r="M19" s="1205">
        <f>3219</f>
        <v>3219</v>
      </c>
      <c r="N19" s="1205">
        <f>M19</f>
        <v>3219</v>
      </c>
      <c r="O19" s="1197">
        <f t="shared" si="3"/>
        <v>63882</v>
      </c>
    </row>
    <row r="20" spans="2:17" ht="18.75">
      <c r="B20" s="1196" t="s">
        <v>1587</v>
      </c>
      <c r="C20" s="1197"/>
      <c r="D20" s="1205"/>
      <c r="E20" s="1205"/>
      <c r="F20" s="1205"/>
      <c r="G20" s="1205"/>
      <c r="H20" s="1205"/>
      <c r="I20" s="1205"/>
      <c r="J20" s="1205"/>
      <c r="K20" s="1205"/>
      <c r="L20" s="1205"/>
      <c r="M20" s="1205"/>
      <c r="N20" s="1205"/>
      <c r="O20" s="1197">
        <f t="shared" si="3"/>
        <v>0</v>
      </c>
    </row>
    <row r="21" spans="2:17" ht="18.75">
      <c r="B21" s="1196" t="s">
        <v>153</v>
      </c>
      <c r="C21" s="1197">
        <f>220</f>
        <v>220</v>
      </c>
      <c r="D21" s="1205">
        <f>220</f>
        <v>220</v>
      </c>
      <c r="E21" s="1205">
        <f>220</f>
        <v>220</v>
      </c>
      <c r="F21" s="1205">
        <f>220</f>
        <v>220</v>
      </c>
      <c r="G21" s="1205">
        <f>220</f>
        <v>220</v>
      </c>
      <c r="H21" s="1205">
        <f>220</f>
        <v>220</v>
      </c>
      <c r="I21" s="1205">
        <f>220</f>
        <v>220</v>
      </c>
      <c r="J21" s="1205">
        <f>220</f>
        <v>220</v>
      </c>
      <c r="K21" s="1205">
        <f>220</f>
        <v>220</v>
      </c>
      <c r="L21" s="1205">
        <v>220</v>
      </c>
      <c r="M21" s="1205">
        <f>220</f>
        <v>220</v>
      </c>
      <c r="N21" s="1205">
        <f>M21</f>
        <v>220</v>
      </c>
      <c r="O21" s="1197">
        <f t="shared" si="3"/>
        <v>2640</v>
      </c>
    </row>
    <row r="22" spans="2:17" ht="18.75">
      <c r="B22" s="1196" t="s">
        <v>1588</v>
      </c>
      <c r="C22" s="1197"/>
      <c r="D22" s="1205">
        <f>300+300</f>
        <v>600</v>
      </c>
      <c r="E22" s="1205">
        <f>3030+300</f>
        <v>3330</v>
      </c>
      <c r="F22" s="1205">
        <f>300</f>
        <v>300</v>
      </c>
      <c r="G22" s="1205">
        <f>300</f>
        <v>300</v>
      </c>
      <c r="H22" s="1205">
        <f>300</f>
        <v>300</v>
      </c>
      <c r="I22" s="1205">
        <f>300</f>
        <v>300</v>
      </c>
      <c r="J22" s="1205">
        <v>300</v>
      </c>
      <c r="K22" s="1205">
        <f>300</f>
        <v>300</v>
      </c>
      <c r="L22" s="1205">
        <f>300</f>
        <v>300</v>
      </c>
      <c r="M22" s="1205">
        <f>300</f>
        <v>300</v>
      </c>
      <c r="N22" s="1205">
        <f>M22</f>
        <v>300</v>
      </c>
      <c r="O22" s="1197">
        <f t="shared" si="3"/>
        <v>6630</v>
      </c>
    </row>
    <row r="23" spans="2:17" ht="19.5">
      <c r="B23" s="1206" t="s">
        <v>1589</v>
      </c>
      <c r="C23" s="1197">
        <f>800</f>
        <v>800</v>
      </c>
      <c r="D23" s="1205">
        <f>800+571.85</f>
        <v>1371.85</v>
      </c>
      <c r="E23" s="1205">
        <f>800+823.44</f>
        <v>1623.44</v>
      </c>
      <c r="F23" s="1205">
        <f>843.64+800</f>
        <v>1643.6399999999999</v>
      </c>
      <c r="G23" s="1205">
        <f>658.91+800</f>
        <v>1458.9099999999999</v>
      </c>
      <c r="H23" s="1205">
        <f>662.22+800</f>
        <v>1462.22</v>
      </c>
      <c r="I23" s="1205">
        <f>800</f>
        <v>800</v>
      </c>
      <c r="J23" s="1205">
        <f>659.83+800</f>
        <v>1459.83</v>
      </c>
      <c r="K23" s="1205">
        <f>331.66+800</f>
        <v>1131.6600000000001</v>
      </c>
      <c r="L23" s="1205">
        <f>323.99+800</f>
        <v>1123.99</v>
      </c>
      <c r="M23" s="1205">
        <f>328.87+800+0.75</f>
        <v>1129.6199999999999</v>
      </c>
      <c r="N23" s="1205">
        <f>M23</f>
        <v>1129.6199999999999</v>
      </c>
      <c r="O23" s="1197">
        <f t="shared" si="3"/>
        <v>15134.779999999999</v>
      </c>
    </row>
    <row r="24" spans="2:17" ht="19.5">
      <c r="B24" s="1206" t="s">
        <v>1590</v>
      </c>
      <c r="C24" s="1197"/>
      <c r="D24" s="1205"/>
      <c r="E24" s="1205">
        <f>18576+2256</f>
        <v>20832</v>
      </c>
      <c r="F24" s="1205">
        <f>4800</f>
        <v>4800</v>
      </c>
      <c r="G24" s="1205">
        <f>2424+4320</f>
        <v>6744</v>
      </c>
      <c r="H24" s="1205">
        <f>4056+2712+4128</f>
        <v>10896</v>
      </c>
      <c r="I24" s="1205">
        <f>9888+2328</f>
        <v>12216</v>
      </c>
      <c r="J24" s="1205">
        <f>7224</f>
        <v>7224</v>
      </c>
      <c r="K24" s="1205">
        <f>3960+6648</f>
        <v>10608</v>
      </c>
      <c r="L24" s="1205">
        <f>6768+5688+3504</f>
        <v>15960</v>
      </c>
      <c r="M24" s="1205">
        <f>6720</f>
        <v>6720</v>
      </c>
      <c r="N24" s="1205">
        <v>19000</v>
      </c>
      <c r="O24" s="1197">
        <f t="shared" si="3"/>
        <v>115000</v>
      </c>
      <c r="Q24">
        <f>O24/45</f>
        <v>2555.5555555555557</v>
      </c>
    </row>
    <row r="25" spans="2:17" ht="19.5">
      <c r="B25" s="1207" t="s">
        <v>1591</v>
      </c>
      <c r="C25" s="1197">
        <f t="shared" ref="C25:H25" si="5">1980+810</f>
        <v>2790</v>
      </c>
      <c r="D25" s="1197">
        <f t="shared" si="5"/>
        <v>2790</v>
      </c>
      <c r="E25" s="1197">
        <f t="shared" si="5"/>
        <v>2790</v>
      </c>
      <c r="F25" s="1205">
        <f t="shared" si="5"/>
        <v>2790</v>
      </c>
      <c r="G25" s="1205">
        <f t="shared" si="5"/>
        <v>2790</v>
      </c>
      <c r="H25" s="1205">
        <f t="shared" si="5"/>
        <v>2790</v>
      </c>
      <c r="I25" s="1205">
        <f>1980+810</f>
        <v>2790</v>
      </c>
      <c r="J25" s="1205">
        <f>1980+810</f>
        <v>2790</v>
      </c>
      <c r="K25" s="1205">
        <f>2790</f>
        <v>2790</v>
      </c>
      <c r="L25" s="1205">
        <f>2790</f>
        <v>2790</v>
      </c>
      <c r="M25" s="1205">
        <f>810+1980</f>
        <v>2790</v>
      </c>
      <c r="N25" s="1205">
        <f>M25</f>
        <v>2790</v>
      </c>
      <c r="O25" s="1197">
        <f t="shared" si="3"/>
        <v>33480</v>
      </c>
      <c r="Q25">
        <f>Q24/12</f>
        <v>212.96296296296296</v>
      </c>
    </row>
    <row r="26" spans="2:17" ht="19.5">
      <c r="B26" s="1207" t="s">
        <v>1592</v>
      </c>
      <c r="C26" s="1197"/>
      <c r="D26" s="1197"/>
      <c r="E26" s="1205"/>
      <c r="F26" s="1205"/>
      <c r="G26" s="1205"/>
      <c r="H26" s="1205"/>
      <c r="I26" s="1205"/>
      <c r="J26" s="1205"/>
      <c r="K26" s="1205"/>
      <c r="L26" s="1205"/>
      <c r="M26" s="1205"/>
      <c r="N26" s="1205"/>
      <c r="O26" s="1197">
        <f t="shared" si="3"/>
        <v>0</v>
      </c>
    </row>
    <row r="27" spans="2:17" ht="19.5">
      <c r="B27" s="1207" t="s">
        <v>1593</v>
      </c>
      <c r="C27" s="1197"/>
      <c r="D27" s="1205"/>
      <c r="E27" s="1205"/>
      <c r="F27" s="1205"/>
      <c r="G27" s="1205"/>
      <c r="H27" s="1205"/>
      <c r="I27" s="1205"/>
      <c r="J27" s="1205"/>
      <c r="K27" s="1205"/>
      <c r="L27" s="1205"/>
      <c r="M27" s="1205"/>
      <c r="N27" s="1205"/>
      <c r="O27" s="1197">
        <f t="shared" si="3"/>
        <v>0</v>
      </c>
    </row>
    <row r="28" spans="2:17" ht="19.5">
      <c r="B28" s="1207" t="s">
        <v>1594</v>
      </c>
      <c r="C28" s="1197"/>
      <c r="D28" s="1205"/>
      <c r="E28" s="1205"/>
      <c r="F28" s="1205"/>
      <c r="G28" s="1205"/>
      <c r="H28" s="1205">
        <f>34.68+1388+550.8+1028</f>
        <v>3001.48</v>
      </c>
      <c r="I28" s="1205"/>
      <c r="J28" s="1205"/>
      <c r="K28" s="1205"/>
      <c r="L28" s="1205"/>
      <c r="M28" s="1205"/>
      <c r="N28" s="1205"/>
      <c r="O28" s="1197">
        <f t="shared" si="3"/>
        <v>3001.48</v>
      </c>
    </row>
    <row r="29" spans="2:17" ht="19.5">
      <c r="B29" s="1206" t="s">
        <v>154</v>
      </c>
      <c r="C29" s="1197">
        <v>5000</v>
      </c>
      <c r="D29" s="1205">
        <f>1441.56+20973+1800+1400+1125+3600+600+6897+576</f>
        <v>38412.559999999998</v>
      </c>
      <c r="E29" s="1205">
        <f>13730.4+1125+4074+12000+3450+920+2100+300+5016+15000</f>
        <v>57715.4</v>
      </c>
      <c r="F29" s="1205">
        <f>210+1125+200+2507+1760+2370</f>
        <v>8172</v>
      </c>
      <c r="G29" s="1205">
        <f>1125+1000+3648.98+880+7085.81+3030+9840</f>
        <v>26609.79</v>
      </c>
      <c r="H29" s="1205">
        <f>18600+1243+1243+2000+105+3204+3204+4491+5520+900+9046.88+864+1125+960</f>
        <v>52505.88</v>
      </c>
      <c r="I29" s="1205">
        <f>900+49598.4-49598.4+1144+2190+32040+1232+1125+7255.53</f>
        <v>45886.53</v>
      </c>
      <c r="J29" s="1205">
        <f>2800.38+3128+1144+2000+420+1125</f>
        <v>10617.380000000001</v>
      </c>
      <c r="K29" s="1205">
        <f>380+3385+1018.32+1125+13800+12000+300+13680</f>
        <v>45688.32</v>
      </c>
      <c r="L29" s="1205">
        <f>704+636.45+1125+3385+1584+1998+17350</f>
        <v>26782.45</v>
      </c>
      <c r="M29" s="1205">
        <f>210+4255+704+17195.59+1125</f>
        <v>23489.59</v>
      </c>
      <c r="N29" s="1205">
        <f>23489.59+1</f>
        <v>23490.59</v>
      </c>
      <c r="O29" s="1197">
        <f t="shared" si="3"/>
        <v>364370.49000000005</v>
      </c>
    </row>
    <row r="30" spans="2:17" ht="19.5">
      <c r="B30" s="1208" t="s">
        <v>1595</v>
      </c>
      <c r="C30" s="1197"/>
      <c r="D30" s="1205"/>
      <c r="E30" s="1205"/>
      <c r="F30" s="1205"/>
      <c r="G30" s="1205"/>
      <c r="H30" s="1205"/>
      <c r="I30" s="1205"/>
      <c r="J30" s="1205"/>
      <c r="K30" s="1205"/>
      <c r="L30" s="1205"/>
      <c r="M30" s="1205"/>
      <c r="N30" s="1205"/>
      <c r="O30" s="1197">
        <f t="shared" si="3"/>
        <v>0</v>
      </c>
    </row>
    <row r="31" spans="2:17" ht="19.5">
      <c r="B31" s="1208" t="s">
        <v>1596</v>
      </c>
      <c r="C31" s="1197"/>
      <c r="D31" s="1205"/>
      <c r="E31" s="1205"/>
      <c r="F31" s="1205"/>
      <c r="G31" s="1205"/>
      <c r="H31" s="1205"/>
      <c r="I31" s="1205"/>
      <c r="J31" s="1205"/>
      <c r="K31" s="1205"/>
      <c r="L31" s="1205"/>
      <c r="M31" s="1205"/>
      <c r="N31" s="1205"/>
      <c r="O31" s="1197">
        <f t="shared" si="3"/>
        <v>0</v>
      </c>
    </row>
    <row r="32" spans="2:17" ht="18.75">
      <c r="B32" s="1209" t="s">
        <v>1597</v>
      </c>
      <c r="C32" s="1197"/>
      <c r="D32" s="1205"/>
      <c r="E32" s="1205"/>
      <c r="F32" s="1205"/>
      <c r="G32" s="1205"/>
      <c r="H32" s="1205"/>
      <c r="I32" s="1205"/>
      <c r="J32" s="1205"/>
      <c r="K32" s="1205"/>
      <c r="L32" s="1205"/>
      <c r="M32" s="1205"/>
      <c r="N32" s="1205"/>
      <c r="O32" s="1197">
        <f t="shared" si="3"/>
        <v>0</v>
      </c>
    </row>
    <row r="33" spans="2:17" ht="19.5">
      <c r="B33" s="1206" t="s">
        <v>1976</v>
      </c>
      <c r="C33" s="1197">
        <f>44375/3</f>
        <v>14791.666666666666</v>
      </c>
      <c r="D33" s="1205">
        <f>C33</f>
        <v>14791.666666666666</v>
      </c>
      <c r="E33" s="1205">
        <f t="shared" ref="E33:N33" si="6">D33</f>
        <v>14791.666666666666</v>
      </c>
      <c r="F33" s="1205">
        <f t="shared" si="6"/>
        <v>14791.666666666666</v>
      </c>
      <c r="G33" s="1205">
        <f t="shared" si="6"/>
        <v>14791.666666666666</v>
      </c>
      <c r="H33" s="1205">
        <f t="shared" si="6"/>
        <v>14791.666666666666</v>
      </c>
      <c r="I33" s="1205">
        <f t="shared" si="6"/>
        <v>14791.666666666666</v>
      </c>
      <c r="J33" s="1205">
        <f t="shared" si="6"/>
        <v>14791.666666666666</v>
      </c>
      <c r="K33" s="1205">
        <f t="shared" si="6"/>
        <v>14791.666666666666</v>
      </c>
      <c r="L33" s="1205">
        <f t="shared" si="6"/>
        <v>14791.666666666666</v>
      </c>
      <c r="M33" s="1205">
        <f t="shared" si="6"/>
        <v>14791.666666666666</v>
      </c>
      <c r="N33" s="1205">
        <f t="shared" si="6"/>
        <v>14791.666666666666</v>
      </c>
      <c r="O33" s="1197">
        <f t="shared" si="3"/>
        <v>177499.99999999997</v>
      </c>
      <c r="Q33" t="s">
        <v>449</v>
      </c>
    </row>
    <row r="34" spans="2:17" ht="18.75">
      <c r="B34" s="1210"/>
      <c r="C34" s="1195">
        <f>C12+C4</f>
        <v>36601.666666666664</v>
      </c>
      <c r="D34" s="1195">
        <f t="shared" ref="D34:O34" si="7">D12+D4</f>
        <v>64386.07666666666</v>
      </c>
      <c r="E34" s="1195">
        <f t="shared" si="7"/>
        <v>161462.50666666665</v>
      </c>
      <c r="F34" s="1195">
        <f t="shared" si="7"/>
        <v>59476.306666666664</v>
      </c>
      <c r="G34" s="1195">
        <f t="shared" si="7"/>
        <v>57713.366666666661</v>
      </c>
      <c r="H34" s="1195">
        <f t="shared" si="7"/>
        <v>149284.24666666667</v>
      </c>
      <c r="I34" s="1195">
        <f t="shared" si="7"/>
        <v>122004.19666666667</v>
      </c>
      <c r="J34" s="1195">
        <f t="shared" si="7"/>
        <v>44121.876666666663</v>
      </c>
      <c r="K34" s="1195">
        <f t="shared" si="7"/>
        <v>140698.64666666667</v>
      </c>
      <c r="L34" s="1195">
        <f t="shared" si="7"/>
        <v>69427.106666666674</v>
      </c>
      <c r="M34" s="1195">
        <f t="shared" si="7"/>
        <v>52659.876666666663</v>
      </c>
      <c r="N34" s="1195">
        <f t="shared" si="7"/>
        <v>64940.876666666663</v>
      </c>
      <c r="O34" s="1195">
        <f t="shared" si="7"/>
        <v>1022776.75</v>
      </c>
    </row>
  </sheetData>
  <phoneticPr fontId="66" type="noConversion"/>
  <conditionalFormatting sqref="O18:O33 C34:O34 C4:O17 D25:D26 C4:C33 E25">
    <cfRule type="cellIs" dxfId="3" priority="65" operator="lessThan">
      <formula>0</formula>
    </cfRule>
  </conditionalFormatting>
  <dataValidations count="1">
    <dataValidation type="decimal" operator="greaterThanOrEqual" showInputMessage="1" showErrorMessage="1" error="Будь ласка, вкажіть додатнє число." sqref="D34:N34 E25 D25:D26 D4:O17 C4:C34 O18:O34">
      <formula1>0</formula1>
    </dataValidation>
  </dataValidations>
  <pageMargins left="0" right="0" top="0" bottom="0" header="0" footer="0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22</vt:i4>
      </vt:variant>
    </vt:vector>
  </HeadingPairs>
  <TitlesOfParts>
    <vt:vector size="43" baseType="lpstr">
      <vt:lpstr>!!! ФІНАНСОВИЙ ПЛАН 2023 !!!</vt:lpstr>
      <vt:lpstr>Деталізація</vt:lpstr>
      <vt:lpstr>Доходи</vt:lpstr>
      <vt:lpstr>Видатки</vt:lpstr>
      <vt:lpstr>ОЗ-ІНМА</vt:lpstr>
      <vt:lpstr>2210</vt:lpstr>
      <vt:lpstr>2220</vt:lpstr>
      <vt:lpstr>2230</vt:lpstr>
      <vt:lpstr>2240</vt:lpstr>
      <vt:lpstr>Зведена Д-В</vt:lpstr>
      <vt:lpstr>ФОП</vt:lpstr>
      <vt:lpstr>тарифікація</vt:lpstr>
      <vt:lpstr>штат-розп</vt:lpstr>
      <vt:lpstr>ЗВ штат-розп</vt:lpstr>
      <vt:lpstr>НЧ - СД</vt:lpstr>
      <vt:lpstr>Енергоносії</vt:lpstr>
      <vt:lpstr>Електроенергія</vt:lpstr>
      <vt:lpstr>Інші енергоносії</vt:lpstr>
      <vt:lpstr>тріска паливна</vt:lpstr>
      <vt:lpstr>Програма МБ 2023 рік</vt:lpstr>
      <vt:lpstr>0</vt:lpstr>
      <vt:lpstr>до_1_року</vt:lpstr>
      <vt:lpstr>'!!! ФІНАНСОВИЙ ПЛАН 2023 !!!'!Заголовки_для_печати</vt:lpstr>
      <vt:lpstr>лікарі</vt:lpstr>
      <vt:lpstr>'!!! ФІНАНСОВИЙ ПЛАН 2023 !!!'!Область_печати</vt:lpstr>
      <vt:lpstr>'2210'!Область_печати</vt:lpstr>
      <vt:lpstr>'2220'!Область_печати</vt:lpstr>
      <vt:lpstr>'2230'!Область_печати</vt:lpstr>
      <vt:lpstr>'2240'!Область_печати</vt:lpstr>
      <vt:lpstr>Видатки!Область_печати</vt:lpstr>
      <vt:lpstr>Деталізація!Область_печати</vt:lpstr>
      <vt:lpstr>Доходи!Область_печати</vt:lpstr>
      <vt:lpstr>Електроенергія!Область_печати</vt:lpstr>
      <vt:lpstr>Енергоносії!Область_печати</vt:lpstr>
      <vt:lpstr>'ЗВ штат-розп'!Область_печати</vt:lpstr>
      <vt:lpstr>'Зведена Д-В'!Область_печати</vt:lpstr>
      <vt:lpstr>'Інші енергоносії'!Область_печати</vt:lpstr>
      <vt:lpstr>'НЧ - СД'!Область_печати</vt:lpstr>
      <vt:lpstr>'Програма МБ 2023 рік'!Область_печати</vt:lpstr>
      <vt:lpstr>тарифікація!Область_печати</vt:lpstr>
      <vt:lpstr>'тріска паливна'!Область_печати</vt:lpstr>
      <vt:lpstr>ФОП!Область_печати</vt:lpstr>
      <vt:lpstr>'штат-розп'!Область_печати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2020-12-03T07:48:53Z</cp:lastPrinted>
  <dcterms:created xsi:type="dcterms:W3CDTF">2015-06-05T18:19:34Z</dcterms:created>
  <dcterms:modified xsi:type="dcterms:W3CDTF">2022-12-14T14:18:22Z</dcterms:modified>
</cp:coreProperties>
</file>